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870" activeTab="9"/>
  </bookViews>
  <sheets>
    <sheet name="สรุปการติดตาม" sheetId="18" r:id="rId1"/>
    <sheet name="สรุปรายงาน1" sheetId="19" r:id="rId2"/>
    <sheet name="สรุปรายงาน" sheetId="13" state="hidden" r:id="rId3"/>
    <sheet name="สรุป" sheetId="17" state="hidden" r:id="rId4"/>
    <sheet name="ผลการดำเนินงาน" sheetId="21" r:id="rId5"/>
    <sheet name="ย1 อุตสาหกรรมและโยธา" sheetId="2" r:id="rId6"/>
    <sheet name="ย1 เคหะ" sheetId="3" r:id="rId7"/>
    <sheet name="ย2 แผนงานเกษตร" sheetId="4" r:id="rId8"/>
    <sheet name="ย2 สร้างความเข้มแข็ง" sheetId="5" r:id="rId9"/>
    <sheet name="ย3 การศึกษา" sheetId="6" r:id="rId10"/>
    <sheet name="ย3 ศาสนาวัฒนธรรม" sheetId="7" r:id="rId11"/>
    <sheet name="ย4 สาธารณสุข" sheetId="8" r:id="rId12"/>
    <sheet name="ย5 ด้านทรัพยากรธรรมชาติ " sheetId="9" r:id="rId13"/>
    <sheet name="ย5 เคหะและชุมชน" sheetId="10" r:id="rId14"/>
    <sheet name="ย7 แผนงานบริหารทั้วไป" sheetId="11" r:id="rId15"/>
    <sheet name="ย7 แผนงานรักษาความสงบภายใน" sheetId="12" r:id="rId16"/>
    <sheet name="จัดจ้างในปี 2566" sheetId="16" r:id="rId17"/>
    <sheet name="จัดจ้างในปี2567" sheetId="14" r:id="rId18"/>
    <sheet name="แผนดำเนินงานปี67" sheetId="20" r:id="rId19"/>
    <sheet name="สรุปการใช้จ่ายเงิน" sheetId="22" r:id="rId20"/>
    <sheet name="แผนดำเนินงาน67" sheetId="15" state="hidden" r:id="rId21"/>
  </sheets>
  <definedNames>
    <definedName name="_xlnm.Print_Area" localSheetId="6">'ย1 เคหะ'!$A$1:$J$11</definedName>
    <definedName name="_xlnm.Print_Area" localSheetId="5">'ย1 อุตสาหกรรมและโยธา'!$A$1:$J$21</definedName>
    <definedName name="_xlnm.Print_Area" localSheetId="7">'ย2 แผนงานเกษตร'!$A$1:$J$9</definedName>
    <definedName name="_xlnm.Print_Area" localSheetId="8">'ย2 สร้างความเข้มแข็ง'!$A$1:$J$10</definedName>
    <definedName name="_xlnm.Print_Area" localSheetId="11">'ย4 สาธารณสุข'!$A$1:$J$12</definedName>
    <definedName name="_xlnm.Print_Area" localSheetId="13">'ย5 เคหะและชุมชน'!$A$1:$J$10</definedName>
    <definedName name="_xlnm.Print_Area" localSheetId="12">'ย5 ด้านทรัพยากรธรรมชาติ '!$A$1:$J$11</definedName>
    <definedName name="_xlnm.Print_Area" localSheetId="14">'ย7 แผนงานบริหารทั้วไป'!$A$1:$J$33</definedName>
    <definedName name="_xlnm.Print_Area" localSheetId="15">'ย7 แผนงานรักษาความสงบภายใน'!$A$1:$J$19</definedName>
    <definedName name="_xlnm.Print_Area" localSheetId="2">สรุปรายงาน!$A$1:$H$61</definedName>
    <definedName name="_xlnm.Print_Area" localSheetId="1">สรุปรายงาน1!$A$1:$K$93</definedName>
    <definedName name="_xlnm.Print_Titles" localSheetId="16">'จัดจ้างในปี 2566'!$5:$5</definedName>
    <definedName name="_xlnm.Print_Titles" localSheetId="17">จัดจ้างในปี2567!$3:$3</definedName>
    <definedName name="_xlnm.Print_Titles" localSheetId="20">แผนดำเนินงาน67!$3:$3</definedName>
    <definedName name="_xlnm.Print_Titles" localSheetId="5">'ย1 อุตสาหกรรมและโยธา'!$3:$6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1" l="1"/>
  <c r="H9" i="11"/>
  <c r="H8" i="11"/>
  <c r="H7" i="8"/>
  <c r="H8" i="6"/>
  <c r="H7" i="4"/>
  <c r="H20" i="2"/>
  <c r="H17" i="2"/>
  <c r="H16" i="2"/>
  <c r="H15" i="2"/>
  <c r="H8" i="2"/>
  <c r="H7" i="2"/>
  <c r="H10" i="22"/>
  <c r="E8" i="22"/>
  <c r="H8" i="22" s="1"/>
  <c r="F13" i="22"/>
  <c r="C7" i="22"/>
  <c r="C6" i="22"/>
  <c r="C5" i="22"/>
  <c r="C11" i="22"/>
  <c r="C8" i="22"/>
  <c r="E12" i="22"/>
  <c r="E10" i="22"/>
  <c r="G10" i="22"/>
  <c r="G8" i="22"/>
  <c r="G11" i="22"/>
  <c r="G9" i="22"/>
  <c r="H3" i="22"/>
  <c r="G3" i="22"/>
  <c r="G2" i="22"/>
  <c r="D4" i="22"/>
  <c r="D7" i="22"/>
  <c r="D6" i="22"/>
  <c r="D5" i="22"/>
  <c r="D11" i="22"/>
  <c r="D2" i="22"/>
  <c r="E2" i="22" s="1"/>
  <c r="C9" i="22"/>
  <c r="B6" i="22"/>
  <c r="E6" i="22" s="1"/>
  <c r="H6" i="22" s="1"/>
  <c r="B7" i="22"/>
  <c r="E7" i="22" s="1"/>
  <c r="H7" i="22" s="1"/>
  <c r="B4" i="22"/>
  <c r="H4" i="22" s="1"/>
  <c r="B10" i="22"/>
  <c r="B5" i="22"/>
  <c r="B8" i="22"/>
  <c r="B11" i="22"/>
  <c r="B9" i="22"/>
  <c r="E9" i="22" s="1"/>
  <c r="H9" i="22" s="1"/>
  <c r="B3" i="22"/>
  <c r="H11" i="21"/>
  <c r="H9" i="21"/>
  <c r="H8" i="21"/>
  <c r="H7" i="21"/>
  <c r="H6" i="21"/>
  <c r="H5" i="21"/>
  <c r="F5" i="21"/>
  <c r="H5" i="22" l="1"/>
  <c r="G13" i="22"/>
  <c r="B13" i="22"/>
  <c r="C13" i="22"/>
  <c r="D13" i="22"/>
  <c r="E13" i="22" s="1"/>
  <c r="E11" i="22"/>
  <c r="H11" i="22" s="1"/>
  <c r="H2" i="22"/>
  <c r="H13" i="22" s="1"/>
  <c r="D11" i="21"/>
  <c r="B11" i="21"/>
  <c r="D9" i="21"/>
  <c r="D8" i="21"/>
  <c r="D7" i="21"/>
  <c r="D6" i="21"/>
  <c r="D5" i="21"/>
  <c r="B8" i="21"/>
  <c r="B7" i="21"/>
  <c r="B6" i="21"/>
  <c r="B12" i="21" s="1"/>
  <c r="C8" i="21" s="1"/>
  <c r="F12" i="21"/>
  <c r="C10" i="21"/>
  <c r="H12" i="21"/>
  <c r="C7" i="21" l="1"/>
  <c r="D12" i="21"/>
  <c r="E7" i="21" s="1"/>
  <c r="C11" i="21"/>
  <c r="C9" i="21"/>
  <c r="C6" i="21"/>
  <c r="C5" i="21"/>
  <c r="G11" i="21"/>
  <c r="G6" i="21"/>
  <c r="G5" i="21"/>
  <c r="G9" i="21"/>
  <c r="G7" i="21"/>
  <c r="G8" i="21"/>
  <c r="E10" i="21"/>
  <c r="E8" i="21"/>
  <c r="I9" i="21"/>
  <c r="I11" i="21"/>
  <c r="I8" i="21"/>
  <c r="I7" i="21"/>
  <c r="I6" i="21"/>
  <c r="I5" i="21"/>
  <c r="E11" i="21" l="1"/>
  <c r="E9" i="21"/>
  <c r="E5" i="21"/>
  <c r="E6" i="21"/>
  <c r="I79" i="19"/>
  <c r="M73" i="19"/>
  <c r="H79" i="19"/>
  <c r="G79" i="19"/>
  <c r="D79" i="19"/>
  <c r="C79" i="19"/>
  <c r="B78" i="19"/>
  <c r="B75" i="19"/>
  <c r="B74" i="19"/>
  <c r="B73" i="19"/>
  <c r="I20" i="19"/>
  <c r="I27" i="19" s="1"/>
  <c r="H61" i="19"/>
  <c r="G61" i="19"/>
  <c r="D61" i="19"/>
  <c r="C61" i="19"/>
  <c r="B60" i="19"/>
  <c r="B57" i="19"/>
  <c r="B56" i="19"/>
  <c r="B55" i="19"/>
  <c r="I54" i="19"/>
  <c r="I61" i="19" s="1"/>
  <c r="I38" i="19"/>
  <c r="I45" i="19" s="1"/>
  <c r="H45" i="19"/>
  <c r="G45" i="19"/>
  <c r="D45" i="19"/>
  <c r="C45" i="19"/>
  <c r="B44" i="19"/>
  <c r="B41" i="19"/>
  <c r="B40" i="19"/>
  <c r="B39" i="19"/>
  <c r="H27" i="19"/>
  <c r="G27" i="19"/>
  <c r="D27" i="19"/>
  <c r="C27" i="19"/>
  <c r="B26" i="19"/>
  <c r="B23" i="19"/>
  <c r="B22" i="19"/>
  <c r="B21" i="19"/>
  <c r="I13" i="19"/>
  <c r="H13" i="19"/>
  <c r="C13" i="19"/>
  <c r="F13" i="19"/>
  <c r="F14" i="19" s="1"/>
  <c r="D13" i="19"/>
  <c r="I11" i="19"/>
  <c r="G11" i="19"/>
  <c r="H11" i="19"/>
  <c r="D11" i="19"/>
  <c r="C11" i="19"/>
  <c r="H10" i="19"/>
  <c r="D10" i="19"/>
  <c r="I9" i="19"/>
  <c r="H9" i="19"/>
  <c r="D9" i="19"/>
  <c r="I8" i="19"/>
  <c r="H8" i="19"/>
  <c r="I7" i="19"/>
  <c r="H7" i="19"/>
  <c r="D7" i="19"/>
  <c r="F21" i="2"/>
  <c r="D8" i="19"/>
  <c r="C10" i="19"/>
  <c r="C9" i="19"/>
  <c r="B13" i="19"/>
  <c r="B10" i="19"/>
  <c r="B9" i="19"/>
  <c r="B8" i="19"/>
  <c r="J14" i="19"/>
  <c r="E14" i="19"/>
  <c r="G13" i="19"/>
  <c r="B79" i="19" l="1"/>
  <c r="B61" i="19"/>
  <c r="D14" i="19"/>
  <c r="B14" i="19"/>
  <c r="H14" i="19"/>
  <c r="G14" i="19"/>
  <c r="I14" i="19"/>
  <c r="B27" i="19"/>
  <c r="B45" i="19"/>
  <c r="C14" i="19"/>
  <c r="D22" i="18" l="1"/>
  <c r="E19" i="18"/>
  <c r="E22" i="18" s="1"/>
  <c r="H9" i="13"/>
  <c r="H10" i="13"/>
  <c r="F13" i="13"/>
  <c r="G13" i="13"/>
  <c r="H13" i="13" s="1"/>
  <c r="E13" i="13"/>
  <c r="F11" i="13"/>
  <c r="E11" i="13"/>
  <c r="G10" i="13"/>
  <c r="F10" i="13"/>
  <c r="E10" i="13"/>
  <c r="G9" i="13"/>
  <c r="F9" i="13"/>
  <c r="E9" i="13"/>
  <c r="G8" i="13"/>
  <c r="H8" i="13" s="1"/>
  <c r="F8" i="13"/>
  <c r="E8" i="13"/>
  <c r="G7" i="13"/>
  <c r="F7" i="13"/>
  <c r="E7" i="13"/>
  <c r="D59" i="13"/>
  <c r="C59" i="13"/>
  <c r="D56" i="13"/>
  <c r="C56" i="13"/>
  <c r="D55" i="13"/>
  <c r="C55" i="13"/>
  <c r="D54" i="13"/>
  <c r="C54" i="13"/>
  <c r="D45" i="13"/>
  <c r="C45" i="13"/>
  <c r="D42" i="13"/>
  <c r="C42" i="13"/>
  <c r="D41" i="13"/>
  <c r="C41" i="13"/>
  <c r="D40" i="13"/>
  <c r="C40" i="13"/>
  <c r="D27" i="13"/>
  <c r="C27" i="13"/>
  <c r="D24" i="13"/>
  <c r="C24" i="13"/>
  <c r="D23" i="13"/>
  <c r="C23" i="13"/>
  <c r="D22" i="13"/>
  <c r="C22" i="13"/>
  <c r="C13" i="13"/>
  <c r="D13" i="13"/>
  <c r="D10" i="13"/>
  <c r="C10" i="13"/>
  <c r="D9" i="13"/>
  <c r="C9" i="13"/>
  <c r="D8" i="13"/>
  <c r="C8" i="13"/>
  <c r="H53" i="13"/>
  <c r="H21" i="13"/>
  <c r="H39" i="13"/>
  <c r="F8" i="17"/>
  <c r="H8" i="17" s="1"/>
  <c r="F9" i="17"/>
  <c r="F10" i="17"/>
  <c r="F12" i="17"/>
  <c r="H12" i="17" s="1"/>
  <c r="H14" i="17"/>
  <c r="H11" i="17"/>
  <c r="G10" i="17"/>
  <c r="G9" i="17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9" i="17" l="1"/>
  <c r="H10" i="17"/>
  <c r="C11" i="8"/>
  <c r="H32" i="11"/>
  <c r="G32" i="11"/>
  <c r="F32" i="11"/>
  <c r="E32" i="11"/>
  <c r="D32" i="11"/>
  <c r="C32" i="11"/>
  <c r="G10" i="9"/>
  <c r="H10" i="9"/>
  <c r="H8" i="9"/>
  <c r="E11" i="8"/>
  <c r="G9" i="8"/>
  <c r="H9" i="8" s="1"/>
  <c r="H8" i="8"/>
  <c r="D12" i="7"/>
  <c r="E12" i="7"/>
  <c r="G12" i="7"/>
  <c r="C12" i="7"/>
  <c r="H8" i="7"/>
  <c r="H7" i="7"/>
  <c r="H12" i="7" s="1"/>
  <c r="G13" i="6"/>
  <c r="D13" i="6"/>
  <c r="C13" i="6"/>
  <c r="G29" i="15"/>
  <c r="F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29" i="15" s="1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21" i="2"/>
  <c r="H7" i="13" l="1"/>
  <c r="H10" i="10"/>
  <c r="C10" i="10"/>
  <c r="C10" i="9"/>
  <c r="G11" i="8"/>
  <c r="F11" i="8"/>
  <c r="H9" i="4"/>
  <c r="G9" i="4"/>
  <c r="F9" i="4"/>
  <c r="C9" i="4"/>
  <c r="G21" i="2"/>
  <c r="C21" i="2"/>
  <c r="H11" i="8"/>
  <c r="H12" i="6"/>
  <c r="H13" i="6" s="1"/>
</calcChain>
</file>

<file path=xl/comments1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User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User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<sst xmlns="http://schemas.openxmlformats.org/spreadsheetml/2006/main" count="1133" uniqueCount="418">
  <si>
    <t>ยุทธศาสตร์ที่ 1 การพัฒนาด้านโครงสร้างพื้นฐาน</t>
  </si>
  <si>
    <t>ลำดับ</t>
  </si>
  <si>
    <t>โครงการ/กิจกรรม</t>
  </si>
  <si>
    <t>หน่วยงานรับผิดชอบ</t>
  </si>
  <si>
    <t>หมายเหตุ</t>
  </si>
  <si>
    <t>ยุทธศาสตร์ที่ 2 การพัฒนาด้านเศรษฐกิจ</t>
  </si>
  <si>
    <t>โครงการรณรงค์และป้องกันโรคไข้เลือดออก</t>
  </si>
  <si>
    <t>โครงการประชาสัมพันธ์เบาะแสหรือพบเห็นการทุจริตในพื้นที่ตำบลบุ่งหวาย</t>
  </si>
  <si>
    <t>สำนักปลัด</t>
  </si>
  <si>
    <t>โครงการระบบการแพทย์ฉุกเฉินตำบลบุ่งหวาย</t>
  </si>
  <si>
    <t>โอนเพิ่ม(บาท)</t>
  </si>
  <si>
    <t>ก่อหนี้ผูกพัน(บาท)</t>
  </si>
  <si>
    <t>โอนลด   (บาท)</t>
  </si>
  <si>
    <t>เบิกจ่าย      (บาท)</t>
  </si>
  <si>
    <t>งบประมาณคงเหลือ      (บาท)</t>
  </si>
  <si>
    <t>กองการศึกษา</t>
  </si>
  <si>
    <t>กองช่าง</t>
  </si>
  <si>
    <t xml:space="preserve">               1.1  แผนอุตสาหกรรมและการโยธา</t>
  </si>
  <si>
    <t xml:space="preserve">               1.1  แผนงานเคหะและชุมชน</t>
  </si>
  <si>
    <t>งานไฟฟ้าแลประปา</t>
  </si>
  <si>
    <t xml:space="preserve">  งบประมาณ      คงเหลือ      (บาท)</t>
  </si>
  <si>
    <t xml:space="preserve">   เบิกจ่าย   (บาท)</t>
  </si>
  <si>
    <t>อุดหนุนขนายเขตไฟฟ้าในเขตตำบลบุ่งหวาย</t>
  </si>
  <si>
    <t xml:space="preserve">               2.1  แผนงานการเกษตร</t>
  </si>
  <si>
    <t>ค่าจ้างเหมาบริการ คนงานประจำศูนย์บริการและถ่ายทอดเทคโนโลยีทางการเกษตรประจำตำบลบุ่งหวาย</t>
  </si>
  <si>
    <t>โครงการการดำเนินงานของศูนย์บริการและถ่ายทอดเทคโนโลยี</t>
  </si>
  <si>
    <t xml:space="preserve">               2.1  แผนงานสร้างความเข้มแข็งของชุมชน</t>
  </si>
  <si>
    <t>โครงการฝึกอบรมให้ความรู้เกี่ยวกับอาชีพระยะสั้น</t>
  </si>
  <si>
    <t>กองสวัสดิการสังคม</t>
  </si>
  <si>
    <t>ยุทธศาสตร์ที่ 3 การพัฒนาด้านการศึกษา ศาสนาและวัฒนธรรม</t>
  </si>
  <si>
    <t>โครงการสนับสนุนค่าใช้จ่ายการบริหารสถานศึกษา</t>
  </si>
  <si>
    <t>อุดหนุนสนับสนุนอาหารกลางวันให้กับโรงเรียนสังกัดสำนักงานคณะกรรมการการศึกษาขั้นพื้นฐาน(สพฐ) จำนวน 6 โรงเรียน</t>
  </si>
  <si>
    <t xml:space="preserve">               3.2 แผนงานศาสนา วัฒนธรรมและนันทนาการ</t>
  </si>
  <si>
    <t xml:space="preserve">               3.1  แผนงานการศึกษา</t>
  </si>
  <si>
    <t>โครงการแข่งขันกีฬาประชาชนต้านยาเสพติดตำบลบุ่งหวาย</t>
  </si>
  <si>
    <t>โครงการจัดงานประเพณีลอยกระทง</t>
  </si>
  <si>
    <t>โครงการฝึกอบรมให้ความรู้คุณธรรมจริยธรรมเพื่อเด็กและเยาวชน</t>
  </si>
  <si>
    <t>ยุทธศาสตร์ที่ 4 การพัฒนาด้านการสาธารณสุข</t>
  </si>
  <si>
    <t xml:space="preserve">               4.1 แผนงานสาธารณสุข</t>
  </si>
  <si>
    <t>ยุทธศาสตร์ที่ 5 การพัฒนาด้านทรัพยากรธรรมชาติและสิ่งแวดล้อม</t>
  </si>
  <si>
    <t>โครงการสัตว์ปลอดโรคคนปลอดภัยจากโรคพิษสุนัขบ้า</t>
  </si>
  <si>
    <t>โครงการคลองสวยน้ำใสคนไทยมีสุข</t>
  </si>
  <si>
    <t xml:space="preserve"> -  งานกำจัดขยะมูลฝอยและสิ่งปฏิกูล  (สำนักงานปลัด)</t>
  </si>
  <si>
    <t xml:space="preserve"> -งานสิ่งแวดล้อมและทรัพยากรธรรมชาติ</t>
  </si>
  <si>
    <t>โครงการบริหารจัดการขยะมูลฝอย</t>
  </si>
  <si>
    <t>โครงการอาสาสมัครท้องถิ่นรักษ์โลก(อถล.)</t>
  </si>
  <si>
    <t xml:space="preserve">                5.1 แผนงานการเกษตร</t>
  </si>
  <si>
    <t xml:space="preserve">                5.2 แผนงานเคหะและชุมชน</t>
  </si>
  <si>
    <t>ยุทธศาสตร์ที่ 7  การพัฒนาด้านการเมืองการบริหาร</t>
  </si>
  <si>
    <t xml:space="preserve">                7.1 แผนงานบริหารทั้วไป</t>
  </si>
  <si>
    <t xml:space="preserve"> -งานบริหารทั่วไป (สำนักปลัด)</t>
  </si>
  <si>
    <t>ค่าจ้างเหมาพนักงานช่วยงานนิติกร</t>
  </si>
  <si>
    <t>ค่าใช้จ่ายจัดการเลือกตั้งกรณีครบวาระ ยุบสภากรณีแทนตำแหน่งที่ว่าง</t>
  </si>
  <si>
    <t>โครงการจัดงานวันคล้ายวันสวรรคตของพระบาทสมเด็จพระบรม  ชนกาธิเบศร มหาภูมิพลอดุลยเดชมหาราช บรมนาถบพิตร</t>
  </si>
  <si>
    <t>โครงการเฉลิมพระเกียรติพระบาทสมเด็จพระปรเมนทรรามาธิบดีศรีสินทร  มหาวชิราลงกรณ พระวชิรเกล้าเจ้าอยู่หัว</t>
  </si>
  <si>
    <t>โครงการฝึกอบรมเพิ่มประสิทธิภาพในการปฏิบัติงานและทัศนศึกษาดูงาน</t>
  </si>
  <si>
    <t>โครงการวันปิยะมหาราช</t>
  </si>
  <si>
    <t>โครงการสร้างจิตสำนึกด้านคุณธรรมจริยธรรมแก่ผู้บริหารสมาชิกสภาและพนักงานของอ บต.บุ่งหวาย</t>
  </si>
  <si>
    <t>โครงการอบรมให้ความรู้ด้านกฎหมายที่ประชาชนควรรู้</t>
  </si>
  <si>
    <t xml:space="preserve">  -งานวางแผนสถิติและวิชาการ  (สำนักปลัด)</t>
  </si>
  <si>
    <t>ค่าจ้างเหมาพนักงานช่วยงานนักวิเคราะห์นโยบายและแผน</t>
  </si>
  <si>
    <t xml:space="preserve">  -งานบริหารงานคลัง  (กองคลัง)</t>
  </si>
  <si>
    <t>โครงการจัดหน่วยบริการเคลื่อนที่เพื่อจัดเก็บและประชาสัมพันธ์ภาษีท้องถิ่นองค์การบริหารส่วนตำบลบุ่งหวาย</t>
  </si>
  <si>
    <t xml:space="preserve">  -งานป้องกันและบรรเทาสาธารณภัย</t>
  </si>
  <si>
    <t xml:space="preserve">   งบประมาณ       คงเหลือ      (บาท)</t>
  </si>
  <si>
    <t>รายงานการติดตามและประเมิผลแผนการดำเนินงาน ประจำปีงบประมาณ  พ.ศ.2566</t>
  </si>
  <si>
    <t>โครงการปลูกต้นไม้เพื่อเพิ่มพื้นที่สีเขียว ลดภาวะโลกร้อน ประจำปีงบประมาณ พ.ศ. 2566</t>
  </si>
  <si>
    <t>กองคลัง</t>
  </si>
  <si>
    <t>งบประมาณตามข้อบัญญัติ 2566</t>
  </si>
  <si>
    <t>โครงการฝึกอบรมอาสาสมัครป้องกันภัยฝ่ายพลเรือน (อปพร.)</t>
  </si>
  <si>
    <t>ดำเนินการเสร็จสิ้น</t>
  </si>
  <si>
    <t>ยุทธศาสตร์การพัฒนา</t>
  </si>
  <si>
    <t>จำนวนโครงการ</t>
  </si>
  <si>
    <t>ที่ปรากฎอยู่ในแผนพัฒนาท้องถิ่น</t>
  </si>
  <si>
    <t>ด้านเศรษฐกิจ</t>
  </si>
  <si>
    <t>ด้านการศึกษาศาสนาและวัฒนธรรม</t>
  </si>
  <si>
    <t>ด้านสาธารณสุข</t>
  </si>
  <si>
    <t>ด้านทรัพยากรและสิ่งแวดล้อม</t>
  </si>
  <si>
    <t>ด้านการท่องเที่ยว</t>
  </si>
  <si>
    <t>ด้านการเมืองการบริหาร</t>
  </si>
  <si>
    <t>จำนวนงบประมาณ</t>
  </si>
  <si>
    <t>สรุปการรายงานการติดตามและประเมินผลแผนการดำเนินงาน  ประจำปีงบประมาณ พ.ศ.2566</t>
  </si>
  <si>
    <t>รวม</t>
  </si>
  <si>
    <t>รวมแผนงานบริหารงานทั่วไป</t>
  </si>
  <si>
    <t>-</t>
  </si>
  <si>
    <t>เบิกจ่ายจริง</t>
  </si>
  <si>
    <t>ร้อยละของการเบิกจ่าย</t>
  </si>
  <si>
    <t xml:space="preserve">โครงการก่อสร้างถนน คสล.หมู่ที่ 3  สายทางบ้านนายศิริชัย ปริมาณงาน ผิวจราจรคอนกรีตเสริมเหล็กกว้าง  3.00 เมตร ยาว 71.00 เมตร หนา 0.15 เมตร หรือมีพื้นที่คอนกรีตไม่น้อยกว่า 213 ตร.ม. (ตามแบบเลขที่ ทถ -2-202 และ ทถ-2-203 กำหนด หรือที่ อบต.บุ่งหวายกำหนด)  </t>
  </si>
  <si>
    <t xml:space="preserve">โครงการก่อสร้างถนน คสล.หมู่ที่ 3  สายทางบ้านนายแสวง –  บ้านนายทองคำ  ปริมาณงาน ผิวจราจรคอนกรีตเสริมเหล็กกว้าง  3.00 เมตร ยาว 56.00 เมตร หนา 0.15 เมตร พื้นที่คอนกรีตไม่น้อยกว่า 168 ตร.ม. (ตามแบบเลขที่ ทถ -2-202 และ ทถ-2-203 กำหนด หรือที่ อบต.บุ่งหวายกำหนด) </t>
  </si>
  <si>
    <t>โครงการก่อสร้างถนนดินลูกรัง ม.5 สายทางทางหลังโรงเรียนถึง สระใหญ่  ปริมาณงานผิวจราจรดินถมกว้าง 4.00 เมตร ยาว 440 เมตร หนา 0.30 เมตร ลูกรังหนา 0.10 เมตรมีพื้นที่ผิวจราจรรวมกัน 1,760 ตร.ม.(ตามแบบเลขที่ ทถ -2-304 กำหนด)</t>
  </si>
  <si>
    <t>โครงการก่อสร้างถนนดินลูกรัง ม.6 สายทางบ้านนางสุมาลี   ปริมาณงานผิวจราจรกว้าง 4.00 เมตร ยาว 200 เมตร หนา 0.10 เมตร มีพื้นที่ผิวจราจรรวมกัน 800 ตร.ม.(ตามแบบเลขที่ ทถ -2-304 กำหนด)</t>
  </si>
  <si>
    <t>โครงการก่อสร้างถนนดินลูกรัง ม.8 สายทางถนน อบจ.ห้วยผับ ปริมาณงานกว้าง 4.00 เมตร ยาว 300 เมตร หรือมีปริมาณดินถมพื้นที่คอนกรีตไม่น้อยกว่า 1,280 ลบ.ม.ลงลูกรังหนา 0.10 เมตร มีพื้นที่ผิวจราจรรวมกัน 1,200 ตร.ม.   (ตามแบบเลขที่ ทถ -2-304 กำหนด)</t>
  </si>
  <si>
    <t xml:space="preserve">โครงการก่อสร้างถนน คสล.หมู่ที่ 17  เส้นรอบบึงใหญ่ด้านหาดท่าโฮง  ปริมาณงาน กว้าง  5.00 เมตร ยาว 139.00 เมตร หนา 0.15 เมตร พื้นที่คอนกรีตไม่น้อยกว่า 695  ตร.ม. (ตามแบบเลขที่ ทถ -2-202 และ ทถ-2-203 กำหนด หรือที่ อบต.บุ่งหวายกำหนด) </t>
  </si>
  <si>
    <t xml:space="preserve">โครงการก่อสร้างถนน คสล.หมู่ที่ 16  เส้นถนนรอบสนามกีฬา ปริมาณงาน กว้าง  4.00 เมตร ยาว 154.00 เมตร หนา 0.15 เมตร พื้นที่คอนกรีตไม่น้อยกว่า 616  ตร.ม. (ตามแบบเลขที่ ทถ -2-202 และ ทถ-2-203 กำหนด หรือที่ อบต.บุ่งหวายกำหนด) </t>
  </si>
  <si>
    <t xml:space="preserve">โครงการก่อสร้างถนน คสล.หมู่ที่ 7  สายทางซอยเสริมสุข    ปริมาณงาน กว้าง  5.00 เมตร ยาว 139.00 เมตร หนา 0.15 เมตร พื้นที่คอนกรีตไม่น้อยกว่า 695 ตร.ม. (ตามแบบเลขที่ ทถ -2-202 และ ทถ-2-203 กำหนด หรือที่ อบต.บุ่งหวายกำหนด) </t>
  </si>
  <si>
    <t>กันเงินงบประมาณเบิกจ่ายในปี 2567</t>
  </si>
  <si>
    <t xml:space="preserve">โครงการก่อสร้างถนน คสล.หมู่ที่ 1  เส้นรอบหนองหอ ถึงแยกนายวิชัย  จันทวี  ปริมาณงาน กว้าง  4.00 เมตร ยาว 174.00 เมตร หนา 0.15 เมตร พื้นที่คอนกรีตไม่น้อยกว่า 696  ตร.ม. (ตามแบบเลขที่ ทถ -2-202 และ ทถ-2-203 กำหนด หรือที่ อบต.บุ่งหวายกำหนด) </t>
  </si>
  <si>
    <t>โครงการปรับปรุงผิวทางแอสฟัลท์ติกคอนกรีต (ASPHALTICCONCRETE) หมู่ 2 สายทางบ้านเลขที่ 72-62  ปริมาณงานผิวจราจรกว้าง 4.00 เมตร หนา 0.04 เมตร ระยะทางยาวรวม 132 เมตร หรือมีพื้นที่ AC รวมไม่น้อยกว่า 528 ตร.ม. (ตามแบบเลขที่ ทถ-2-303 กำหนด)</t>
  </si>
  <si>
    <t>โครงการวางท่อระบายน้ำพร้อมบ่อพัก ม.12 จากถนน อบจ-แม่น้ำมูล (บ้านนายสุวัฒน์) ปริมาณงานก่อสร้างวางท่อระบายน้ำพร้อมาบ่อพัก ระยะทางยาว 135 เมตร ดังนี้   - ท่อ คสล. ขนาด  0.40 เมตร จำนวน 128 ท่อน รายละเอียดตามแบบ ทถ-5-301 และ ทถ-5-302 กำหนด
 - บ่อพักพร้อมฝาตะแกรงเหล็ก ขนากกว้าง 1.00 เมตร ยาว 1.00 เมตร จำนวน 10 บ่อ (ระยะห่างแต่ละบ่อไม่น้อยกว่า 12 เมตร ต่อ 1 ช่วงจุด และสามารถปรับเปลี่ยนได้ตามสภาพที่ก่อสร้างได้
 - ทำการเทคอนกรีตทับหลังท่อระบายน้ำ ขนาดกว้าง 1.00 เมตร หนา 0.15 เมตร ยาวรวม 125 เมตร หรือ คิดเป็นปริมาณงานพื้นที่คอนกรีตไม่น้อยกว่า 125 ตร.ม. ที่ระยะ กม. กม.0+000 - 0+135</t>
  </si>
  <si>
    <t>โครงการปรับปรุงผิวจราจรแอสฟัลท์ติกคอนกรีต หมู่ 13 เส้นจากบ้านนางหอมไกร - สี่แยกท่างอยวังยาง ปริมาณงานผิวจราจรกว้าง 6.00 เมตร หนา 0.04 เมตร ระยะทางยาวรวม 192 เมตร หรือมีพื้นที่ AC รวมไม่น้อยกว่า 1,152 ตร.ม. (ตามแบบเลขที่ ทถ-2-303 กำหนด)</t>
  </si>
  <si>
    <t>โครงการเสริมผิวจราจรแอสฟัลท์ติกคอนกรีต หมู่ที่ 15 เส้นหลักกลางบ้าน - ท่าแพร ปริมาณงานผิวจราจรกว้าง 4.00 เมตร หนา 0.04 เมตร ระยะทางยาวรวม 288 เมตร หรือมีพื้นที่ AC รวมไม่น้อยกว่า 1,152 ตร.ม. (ตามแบบเลขที่ ทถ-2-303 กำหนด)</t>
  </si>
  <si>
    <t>โครงการเสริมผิวจราจรแอสฟัลท์ติกคอนกรีต หมู่ที่ 18 เส้นจากบ้านนายวิเชียร คำลือไย - สามแยกบ้านนายบุญเลิศ วงศ์คำเหลา  ปริมาณงานผิวจราจรกว้าง 4.00 เมตร หนา 0.04 เมตร ระยะทางยาวรวม 237 เมตร หรือมีพื้นที่ AC รวมไม่น้อยกว่า 948 ตร.ม. (ตามแบบเลขที่ ทถ-2-303 กำหนด)</t>
  </si>
  <si>
    <t>ลำดับที่</t>
  </si>
  <si>
    <t>รายละเอียดโครงการ</t>
  </si>
  <si>
    <t xml:space="preserve">หมู่ที่ </t>
  </si>
  <si>
    <t>ปีงบอนุมัติฯ</t>
  </si>
  <si>
    <t>อนุมัติ</t>
  </si>
  <si>
    <t>งบประมาณ อนุมัติ</t>
  </si>
  <si>
    <t>ทำสัญญา</t>
  </si>
  <si>
    <t>คงเหลือ</t>
  </si>
  <si>
    <t>เลขที่สัญญา</t>
  </si>
  <si>
    <t>ลงวันที่</t>
  </si>
  <si>
    <t>สิ้นสุดสัญญา</t>
  </si>
  <si>
    <t>คู่สัญญา</t>
  </si>
  <si>
    <t>วันที่ส่งมอบ</t>
  </si>
  <si>
    <t>เบิกจ่ายแล้ว</t>
  </si>
  <si>
    <t>ปีงบที่เบิกจ่าย</t>
  </si>
  <si>
    <t>โครงการปรับปรุงผิวทางแอสฟัลท์ติกคอนกรีต หมู่ที่ 10 สายบ้านนายบุญมี - สามแยก จำนวน 3 ช่วง ช่วงที่ 1 กว้าง 4.00 เมตร หนา 0.04 เมตร ยาว 165.00 เมตร ช่วงที่ 2 กว้าง 3.50 เมตร หนา 0.04 เมตร ยาว 60.00 เมตร ช่วงที่ 3 กว้าง 4.00 เมตร หนา 0.04 เมตร ยาว 74.00 เมตร มีพื้นที่ AC รวมกัน 1,166 ตารางเมตร (อนุมัติ 30 พ.ค.65)</t>
  </si>
  <si>
    <t>จ่ายขาดเงินสะสม 2565</t>
  </si>
  <si>
    <t>สามัญสมัยที่ 2 ครั้งที่ 1 วันที่ 30 พ.ค.2565</t>
  </si>
  <si>
    <t>35/2566</t>
  </si>
  <si>
    <t>04/07/2566</t>
  </si>
  <si>
    <t>2/10/2566</t>
  </si>
  <si>
    <t>หจก.เมืองอุบลคอนสตรัคชั่น</t>
  </si>
  <si>
    <t>/</t>
  </si>
  <si>
    <t>โครงการเสริมผิวจราจรแอสฟัลท์ติกคอนกรีต  หมู่ที่ 20 เส้นจากบ้านนายบุญเพ็ง  ป้องคำสิงห์ - บ้านนายคำปิ่น แก้วอนันต์  กว้าง 4.00 เมตร หนา 0.04 เมตร ระยะทางยาวรวม 220 เมตร รวมพื้นที่ AC ไม่น้อยกว่า 880 ตารางเมตร (อนุมัติ 30 พ.ค.65)</t>
  </si>
  <si>
    <t>36/2566</t>
  </si>
  <si>
    <t>04/7/2566</t>
  </si>
  <si>
    <t>02/10/2566</t>
  </si>
  <si>
    <t>โครงการก่อสร้างถนน คสล. ม.4  สายทาง บ้านนางน้อย  บุญเกิด  ผิวจราจร กว้าง 4.00 เมตร ยาว 135.00 เมตร หนา 0.15 เมตร หรือมีพื้นที่คอนกรีตไม่น้อยกว่า 540 ตร.ม. (ตามแบบเลขที่ ทถ-2-202- และ ทถ-2-203 กำหนด)</t>
  </si>
  <si>
    <t>ข้อบัญญัติ65</t>
  </si>
  <si>
    <t>โครงการปรับปรุงผิวจราจรแอสฟัลท์ติกคอนกรีต หมู่ 12 เส้นจากถนน อบจ. -บ้านนายสมหวัง ทาประจิตต์ กว้าง 4.00 เมตร หนา 0.04 เมตร  ยาวรวม 225  เมตร  รวมพื้นที่AC ไม่น้อยกว่า 900  ตารางเมตร (ตามแบบ ทถ-2-303</t>
  </si>
  <si>
    <t>05/2567</t>
  </si>
  <si>
    <t>20/10/2566</t>
  </si>
  <si>
    <t>18/01/2567</t>
  </si>
  <si>
    <t xml:space="preserve">โครงการปรับปรุงผิวจราจรแอสฟัลท์ติกคอนกรีต หมู่ 16 จากบ้านนางสำรวย – หน้าวัด กว้าง 4.00 เมตร  หนา 0.04 เมตร  ยาวรวม 254  เมตร  รวมพื้นที่AC ไม่น้อยกว่า 1,016  ตารางเมตร (ตามแบบ ทถ-2-303)  </t>
  </si>
  <si>
    <t>04/2567</t>
  </si>
  <si>
    <t xml:space="preserve">โครงการเสริมผิวจราจรแอสฟัลท์ติกคอนกรีต หมู่ 15 เส้นหน้าวัด-หลักกลางบ้าน กว้าง 4.00 เมตร หนา 0.04 เมตร  ยาวรวม 145  เมตร  รวมพื้นที่AC ไม่น้อยกว่า 580.00  ตารางเมตร (ตามแบบ ทถ-2-303)  </t>
  </si>
  <si>
    <t>03/2567</t>
  </si>
  <si>
    <t>โครงการก่อสร้างถนน คสล. ม.7 สายทางบ้านเลขที่ 59 – วัดป่านานาชาติ  กว้าง 4.00 เมตร หนา 0.15 เมตร ระยะทางยาวรวม 152.00 เมตร รวมพื้นที่คอนกรีต     ไม่น้อยกว่า 608 ตารางเมตร ( ตามแบบ ทถ-2-202 กับ ทถ-2-203 )</t>
  </si>
  <si>
    <t>โครงการปรับปรุงผิวจราจรแอสฟัลท์ติกคอนกรีต หมู่ที่ 4 สายทางสำนักสงฆ์ดงสิม  กว้าง 4.00 เมตร หนา 0.04  เมตร ระยะทางยาวรวม 416 เมตร รวมพื้นที่ AC ไม่น้อยกว่า  1,664  ตารางเมตร</t>
  </si>
  <si>
    <t>โครงการก่อสร้างถนน คสล.หมู่ที่ 7 สายทางซอยข้างศูนย์ไปรษณีย์ กว้าง 4.00 เมตร ยาว 187 เมตร หนา 0.15 ม. ลูกรังหนา 0.10 เมตร หรือมีพื้นที่คอนกรีตไม่น้อยกว่า 784 ตารางเมตร</t>
  </si>
  <si>
    <t>02/2567</t>
  </si>
  <si>
    <t>16/10/2566</t>
  </si>
  <si>
    <t>14/01/2567</t>
  </si>
  <si>
    <t>หจก.เจริญเกียรติวัสดุก่อสร้าง</t>
  </si>
  <si>
    <t>ข้อบัญญัติ 2566</t>
  </si>
  <si>
    <t>ข้อบัญญํติ 2566</t>
  </si>
  <si>
    <t>โครงการปรับปรุงซ่อมแซมระบบประปาหมู่บ้านแบบบาดาลขนาดใหญ่ บ้านบุ่งหวาย หมู่ที่ 18 องค์การบริหารส่วนตำบลบุ่งหวาย อำเภอวารินชำราบ จังหวัดอุบลราชธานี</t>
  </si>
  <si>
    <t>อุดหนุนเฉพาะกิจ 66</t>
  </si>
  <si>
    <t>33/2566</t>
  </si>
  <si>
    <t>03/07/2566</t>
  </si>
  <si>
    <t>31/10/2566</t>
  </si>
  <si>
    <t>หจก.สุพรรณเซฟตี้</t>
  </si>
  <si>
    <t>โครงการปรับปรุงซ่อมแซมระบบประปาหมู่บ้านแบบบาดาลขนาดใหญ่ บ้านบุ่งหวาย หมู่ที่ 8 องค์การบริหารส่วนตำบลบุ่งหวาย อำเภอวารินชำราบ จังหวัดอุบลราชธานี</t>
  </si>
  <si>
    <t>32/2566</t>
  </si>
  <si>
    <t>โครงการปรับปรุงซ่อมแซมสถานีสูบน้ำด้วยไฟฟ้า โครงการปรับปรุงสถานีสูบน้ำ หมู่ที่ 6  บ้านท่างอยตำบลบุ่งหวาย  องค์การบริหารส่วนตำบลบุ่งหวาย อำเภอวารินชำราบ จังหวัดอุบลราชธานี</t>
  </si>
  <si>
    <t>38/2566</t>
  </si>
  <si>
    <t>19/08/2566</t>
  </si>
  <si>
    <t>17/01/2567</t>
  </si>
  <si>
    <t xml:space="preserve">หจก.ทรัพย์แสนพันมอเตอร์ </t>
  </si>
  <si>
    <t>โครงการปรับปรุงซ่อมแซมสถานีสูบน้ำด้วยไฟฟ้า โครงการปรับปรุงสถานีสูบน้ำ หมู่ที่ 14  บ้านวังยาง ตำบลบุ่งหวาย  องค์การบริหารส่วนตำบลบุ่งหวาย อำเภอวารินชำราบ จังหวัดอุบลราชธานี</t>
  </si>
  <si>
    <t>01/2567</t>
  </si>
  <si>
    <t>10/10/2566</t>
  </si>
  <si>
    <t>06/02/2567</t>
  </si>
  <si>
    <t>หจก.สันกำแพงมอเตอร์ กรุ๊ป</t>
  </si>
  <si>
    <t>โครงการปรับปรุงซ่อมแซมสถานีสูบน้ำด้วยไฟฟ้า โครงการปรับปรุงสถานีสูบน้ำ หมู่ที่ 3  บ้านดอนชาด  ตำบลบุ่งหวาย  องค์การบริหารส่วนตำบลบุ่งหวาย อำเภอวารินชำราบ จังหวัดอุบลราชธานี</t>
  </si>
  <si>
    <t>โครงการก่อสร้างอาคารศูนย์พัฒนาเด็กเล็ก ขนาดไม่เกิน 50 คน  แบบฐานรากแผ่  ศูนย์พัฒนาเด็กเล็กบ้านโนนบอน  องค์การบริหารส่วนตำบลบุ่งหวาย อำเภอวารินชำราบ จังหวัดอุบลราชธานี</t>
  </si>
  <si>
    <t>37/2567</t>
  </si>
  <si>
    <t>11/08/2567</t>
  </si>
  <si>
    <t>07/02/2567</t>
  </si>
  <si>
    <t>หจก.ธีธัชชัพพลาย</t>
  </si>
  <si>
    <t>โครงการก่อสร้างขยายไหล่ทางถนนดินลูกรัง หมู่ที่ 2 สายทางกลางทุ่ง ผิวจราจรดินถม กว้าง 1 เมตร ยาว 558 ม. หรือมีปริมาณดินถมไม่น้อยกว่า 390 ลบ.ม. (ตามแบบองค์การบริหารส่วนตำบลบุ่งหวายกำหนด)</t>
  </si>
  <si>
    <t>ข้อบัญญัติ 2567</t>
  </si>
  <si>
    <t>โครงการก่อสร้างถนน คสล. ม.3 สายทางบ้านนายอุทัย วรรณสิม ปริมาณงาน  ผิวจราจรคอนกรีต กว้าง 2.5 ม. ยาว 72 ม.หนา 0.15 ม. หรือมีพื้นที่คอนกรีตไม่น้อยกว่า 180 ตร.ม. (ตามแบบเลขที่ ทถ-2-202 และ ทถ-2-203 กำหนด)</t>
  </si>
  <si>
    <t>โครงการก่อสร้างถนน คสล. ม.1 สายทาง 226- บ้านห่องชัน  ปริมาณงาน  ผิวจราจรคอนกรีต กว้าง 4.00 ม. ยาว 160.00 ม.หนา 0.15 ม. หรือมีพื้นที่คอนกรีตไม่น้อยกว่า 640 ตร.ม. (ตามแบบเลขที่ ทถ-2-202 และ ทถ-2-203 กำหนด)</t>
  </si>
  <si>
    <t>โครงการก่อสร้างถนนคอนกรีตเสริมเหล็ก เส้นบ้านนายอำคา วงศ์จันแดง - สถานีสูบน้ำ หมู่ 20 ปริมาณงาน  ผิวจราจรคอนกรีต กว้าง 4.00 ม. ยาว 160.00 ม.หนา 0.15 ม. หรือมีพื้นที่คอนกรีตไม่น้อยกว่า 640 ตร.ม. (ตามแบบเลขที่ ทถ-2-202 และ ทถ-2-203 กำหนด)</t>
  </si>
  <si>
    <t>โครงการก่อสร้างถนนคอนกรีตเสริมเหล็ก เส้นรอบหนองอีไว     หมู่ที่ 18 ปริมาณงาน  ผิวจราจรคอนกรีต กว้าง 4.00 ม. ยาว 145.00 ม.หนา 0.15 ม. หรือมีพื้นที่คอนกรีตไม่น้อยกว่า 580 ตร.ม. (ตามแบบเลขที่ ทถ-2-202 และ ทถ-2-203 กำหนด)</t>
  </si>
  <si>
    <t>โครงการก่อสร้างถนนคอนกรีตเสริมเหล็ก หมู่ที่ 14 บ้านวังยางเส้นรอบบึงด้านคลองส่งน้ำ  ปริมาณงานผิวจราจรคอนกรีต กว้าง 5 ม.ยาว 160  ม.หนา 0.15 ม. หรือมีพื้นที่คอนกรีตไม่น้อยกว่า 800 ตร.ม. (ตามแบบเลขที่ ทถ-2-202 และ ทถ-2-203 กำหนด)</t>
  </si>
  <si>
    <t>โครงการก่อสร้างถนนคอนกรีตเสริมเหล็ก หมู่ที่ 16 เส้นจากบ้านนายอาวุฒิ ดวงน้อย ถึงบ้านนายพิน พรมสิงห์ ปริมาณงานผิวจราจรคอนกรีต กว้าง 4 ม.ยาว 90  ม.หนา 0.15 ม. หรือมีพื้นที่คอนกรีตไม่น้อยกว่า 360 ตร.ม. (ตามแบบเลขที่ ทถ-2-202 และ ทถ-2-203 กำหนด)</t>
  </si>
  <si>
    <t>โครงการก่อสร้างถนนคอนกรีตเสริมเหล็ก หมู่ที่ 16 เส้นถนนรอบสนามกีฬา ปริมาณงานผิวจราจรคอนกรีต กว้าง 4 ม.ยาว 17 ม.หนา 0.15 ม. หรือมีพื้นที่คอนกรีตไม่น้อยกว่า 68 ตร.ม. (ตามแบบเลขที่ ทถ-2-202 และ ทถ-2-203 กำหนด)</t>
  </si>
  <si>
    <t>โครงการก่อสร้างถนนคอนกรีตเสริมเหล็ก หมู่ที่ 17 เส้นรอบบึงใหญ่ด้านหาดท่าโฮง  ปริมาณงานผิวจราจรคอนกรีต กว้าง 5 ม.ยาว 140 ม.หนา 0.15 ม. หรือมีพื้นที่คอนกรีตไม่น้อยกว่า 700 ตร.ม. (ตามแบบเลขที่ ทถ-2-202 และ ทถ-2-203 กำหนด)</t>
  </si>
  <si>
    <t>โครงการก่อสร้างถนนลูกรัง หมู่ที่ 8  สายทางถนน อบจ-ห้วยผับ ปริมาณงานผิวจราจรดินถม กว้าง 4 ม.ยาว 650 ม. หรือมีปริมาณดินถมไม่น้อยกว่า 1,280 ลบ.ม. ลูกรังหนา 0.10 ม.มีพื้นที่จราจรรวมกัน 2,600 ตร.ม. (ตามแบบองค์การบริหารส่วนตำบลบุ่งหวาย กำหนด)</t>
  </si>
  <si>
    <t>โครงการก่อสร้างถนนลูกรัง หมู่ที่ 11  เส้นจากบ้านนายทองใบ พันธนู ถึงลำห้วยผับ ปริมาณงานผิวจราจรดินถม กว้าง 4 ม.ยาว 250 ม. หรือมีปริมาณดินถมไม่น้อยกว่า 1,280 ลบ.ม. ลูกรังหนา 0.10 ม.มีพื้นที่จราจรรวมกัน 1,000 ตร.ม. (ตามแบบองค์การบริหารส่วนตำบลบุ่งหวาย กำหนด)</t>
  </si>
  <si>
    <t>โครงการก่อสร้างถนนลูกรัง หมู่ที่ 4  สายทางช้าง-บ้านหนองกินเพล ปริมาณงานผิวจราจรดินถม กว้าง 4 ม.ยาว 540 ม. หรือมีปริมาณดินถมไม่น้อยกว่า 1,080 ลบ.ม. ลูกรังหนา 0.10 ม.มีพื้นที่จราจรรวมกัน 2,160 ตร.ม. (ตามแบบองค์การบริหารส่วนตำบลบุ่งหวาย กำหนด)</t>
  </si>
  <si>
    <t>โครงการก่อสร้างถนนลูกรัง หมู่ที่ 5  สายทางหลังโรงเรียน ถึง สระใหญ่ ปริมาณงานผิวจราจรดินถม กว้าง 4 ม.ยาว 155 ม. หรือมีปริมาณดินถมไม่น้อยกว่า 186 ลบ.ม. ลูกรังหนา 0.10 ม.มีพื้นที่จราจรรวมกัน 620 ตร.ม. (ตามแบบองค์การบริหารส่วนตำบลบุ่งหวาย กำหนด)</t>
  </si>
  <si>
    <t>โครงการก่อสร้างถนนลูกรัง หมู่ที่ 6 สายทางหนองกอก ปริมาณงานผิวจราจรดินถม กว้าง 4 ม.ยาว 950 ม. หรือมีปริมาณดินถมไม่น้อยกว่า 600 ลบ.ม. ลูกรังหนา 0.10 ม.มีพื้นที่จราจรรวมกัน 3,800 ตร.ม. (ตามแบบองค์การบริหารส่วนตำบลบุ่งหวาย กำหนด)</t>
  </si>
  <si>
    <t>โครงการก่อสร้างก่อระบายน้ำพร้อมบ่อพัก  หมู่ที่ 12 จากถนน อบจ.-แม่น้ำมูล (บ้านนายสุวัฒน์) ปริมาณงาน ท่อกลมคอนกรีตเสริมเหล็ก ขนาดเส้นผ่าน ศก.0.40 ม. ชั้น 3 จำนวน 161 ม. บ่อพักรับน้ำคอนกรีตเสริมเหล็ก สำหรับท่อกลม คสล.ขนาด 0.40 ม.ชั้น 3 จำนวน 14 แห่ง เทคอนกรีตทับหลังท่อระบายน้ำ ขนาด กว้าง 1 ม.หนา 0.15 เมตร ยาวรวม 161 เมตร  หรือคิดเป็นปริมาณงานพื้นคอนกรีตรวมไม่น้อยกว่า 161 ตร.ม. (ตามแบบองค์การบริหารส่วนตำบลบุ่งหวาย กำหนด)</t>
  </si>
  <si>
    <t>โครงการก่อสร้างก่อระบายน้ำพร้อมบ่อพัก  หมู่ที่  9 สายทางหน้าโรงเรียนห่องชัน ปริมาณงาน ท่อกลมคอนกรีตเสริมเหล็ก ขนาดเส้นผ่าน ศก.0.40 ม. ชั้น 3 จำนวน 87 ม. บ่อพักรับน้ำคอนกรีตเสริมเหล็ก สำหรับท่อกลม คสล.ขนาด 0.40 ม.ชั้น 3 จำนวน 7 แห่ง . (ตามแบบองค์การบริหารส่วนตำบลบุ่งหวาย กำหนด)</t>
  </si>
  <si>
    <t>โครงการขยายไหล่ทางและล่องน้ำของถนนคอนกรีตเสริมเหล็ก หมู่ที่ 15 เส้นพ่อโทนไปล่องคำ ปริมาณงาน ท่อกลมคอนกรีตเสริมเหล็ก ขนาดเส้นผ่าน ศก.0.40 ม. ชั้น 3 จำนวน 238 ม. บ่อพักรับน้ำคอนกรีตเสริมเหล็ก สำหรับท่อกลม คสล.ขนาด 0.40 ม.ชั้น 3 จำนวน 22 แห่ง เทคอนกรีตทับหลังท่อระบายน้ำ ขนาด กว้าง 1 ม.หนา 0.15 เมตร ยาวรวม 238 เมตร  หรือคิดเป็นปริมาณงานพื้นคอนกรีตรวมไม่น้อยกว่า 238 ตร.ม. (ตามแบบองค์การบริหารส่วนตำบลบุ่งหวาย กำหนด)</t>
  </si>
  <si>
    <t>โครงการปรับปรุงผิวจราจรแอสฟัลท์ติกคอนกรีต หมู่ที่ 13 เส้นทางจากบ้านนางหอมไกร -สี่แยกท่างอยวังยาง ปริมาณงาน ผิวจราจรกว้าง 4 เมตร ยาว 223 เมตร มีพื้นที่ AC รวมกัน 892 ตร.ม.  (ตามแบบองค์การบริหารส่วนตำบลบุ่งหวาย กำหนด)</t>
  </si>
  <si>
    <t>โครงการปรับปรุงผิวทางแอสฟัลท์ติกคอนกรีต  (Asphaitic Concrete) หมู่ที่ 7 สายทางซอยสุรเดชเฟอร์นิเจอร์ ปริมาณงาน ผิวจราจรกว้าง 4 เมตร ยาว 264 เมตร มีพื้นที่ AC รวมกัน 1,056 ตร.ม.  (ตามแบบองค์การบริหารส่วนตำบลบุ่งหวาย กำหนด)</t>
  </si>
  <si>
    <t>โครงการปรับปรุงผิวทางแอสฟัลท์ติกคอนกรีต  (Asphaitic Concrete) หมู่ที่ 10 สายทางบ้านนายคำดี - บ้านนางพยอมปริมาณงาน ช่วงที่ 1 ผิวจราจรกว้าง 3 เมตร ยาว 149 เมตร ช่วงที่ 2 ผิวจราจรกว้าง 2.5 เมตร ยาว 21 เมตร  มีพื้นที่ AC รวมกัน 499.5 ตร.ม.  (ตามแบบองค์การบริหารส่วนตำบลบุ่งหวาย กำหนด)</t>
  </si>
  <si>
    <t>โครงการปรับปรุงผิวทางแอสฟัลท์ติกคอนกรีต  (Asphaitic Concrete) หมู่ที่ 10 สายทางบ้านนายทองศูนย์ - บ้านนางสาวอุบล ปริมาณงาน ผิวจราจรกว้าง 2.5 เมตร ยาว 103 เมตร มีพื้นที่ AC รวมกัน 257.5 ตร.ม.  (ตามแบบองค์การบริหารส่วนตำบลบุ่งหวาย กำหนด)</t>
  </si>
  <si>
    <t xml:space="preserve">โครงการก่อสร้างถนน คสล. หมู่ 1 สายทาง บ้านนายอุทิศ - ถนน 226  </t>
  </si>
  <si>
    <t>ข้อบัญญัติ 2564</t>
  </si>
  <si>
    <t>สมัยที่ 3/2563 ครั้งที่ 1 ลง 17 สิงหาคม 2563</t>
  </si>
  <si>
    <t>โครงการซ่อมแซมถนนดินลูกรัง หมู่ 11 เส้นทางข้างวัดบ้านใหม่บุญจันทร์-ห้วยผับ</t>
  </si>
  <si>
    <t>โครงการก่อสร้างถนน คสล. ม.3  สายทาง บ้านนายบุญมี - คลองส่งน้ำ</t>
  </si>
  <si>
    <t>โครงการก่อสร้างถนน คสล. ม.5  สายทาง   ประปาหมู่บ้าน - เมรุ</t>
  </si>
  <si>
    <t>โครงการก่อสร้างถนน คสล. ม.7  สายทาง ซอยเสริมสุข</t>
  </si>
  <si>
    <t>โครงการก่อสร้างถนนหินคลุก หมู่ที่ 1 สายทาง ถนน 226 - ทางรถไฟ</t>
  </si>
  <si>
    <t>โครงการปรับปรุงภูมิทัศน์ศูนย์พัฒนาเด็กเล็กนำร่องบ้านบุ่งหวาย  โดยการเคลื่อนย้ายเครื่องเล่รกลางแจ้งพร้อมก่อสร้างหลังคาโครงเหล็กขนาด  3.50 X 6  พื้นที่ใช้สอย  21  ตร.ม.  ในสังกัด  อบต.บุ่งหวาย  อ.วารินชำราบ  จ.อุบลราชธานี</t>
  </si>
  <si>
    <t>โครงการก่อสร้างท่อระบายน้ำพร้อมบ่อพัก สายทาง บ้านนางอรัญญา - ห้วยผับ</t>
  </si>
  <si>
    <t>โครงการก่อสร้างถนน คสล. ม.4  สายทาง บ้านนายเม็ง  พิมชาย กว้างข้างละ 3.0 เมตร หนา 0.15 เมตร  ระยะทางยาวรวม 30  เมตร รวมพื้นที่คอนกรีตไม่น้อยกว่า 90.00 ตารางเมตร (ตามแบบ ทถ-2-202และ ทถ-2-203 กำหนด)</t>
  </si>
  <si>
    <t>โครงการก่อสร้างถนนคอนกรีตเสริมเหล็ก เส้นรอบบึงด้านท่าโฮง  กว้างข้างละ 5.0 เมตร หนา 0.15 เมตร หนา 0.15 เมตร ระยะทางยาวรวม 120  เมตร รวมพื้นที่คอนกรีตไม่น้อยกว่า 600.00 ตารางเมตร (ตามแบบ ทถ-2-202)</t>
  </si>
  <si>
    <t>โครงการก่อสร้าง คสล. หมู่ที่ 1 เส้นรอบหนองหอ ถึง แยกบ้านนายวิชัย จันทวี   กว้าง 4.00 เมตร หนา 0.15 เมตร ระยะทางยาวรวม 216.00 เมตร รวมพื้นที่คอนกรีต    ไม่น้อยกว่า 864.00 ตารางเมตร ( ตามแบบ ทถ-2-202 กับ ทถ-2-203 )</t>
  </si>
  <si>
    <t>ข้อบัญญัติ 65 โอนตั้งใหม่ 29 ส.ค.65</t>
  </si>
  <si>
    <t>สามัญสมัยที่ 3 ครั้งที่2 วันที่ 29 ส.ค.65</t>
  </si>
  <si>
    <t>โครงการก่อสร้างถนน คสล.  ม.19 บ้านบุ่งหวาย เส้นดอนเป้า กว้าง 4.00 เมตร     หนา 0.15 เมตร  ระยะทางยาวรวม  110 เมตร รวมพื้นที่คอนกรีตไม่น้อยกว่า             440 ตารางเมตร ( ตามแบบ ทถ-2-202 กับ ทถ-2-203 )</t>
  </si>
  <si>
    <t>)โครงการปรับปรุงถนนดินลูกรังด้วยหินคลุก เส้นจากลางทุ่ง หมู่.11 - หมู่ที่ 8</t>
  </si>
  <si>
    <t>โครงการก่อสร้างถนน คสล. ม.6 บ้านท่างอยจากหน้าวัดป่า–บ้านพ่ออุดม กว้าง 4.00 เมตร หนา 0.15 เมตร ระยะทางยาวรวม 17.00 เมตร รวมพื้นที่คอนกรีตไม่น้อยกว่า       68 ตารางเมตร (ตามแบบ ทถ-2-202 กับ ทถ-2-203 )</t>
  </si>
  <si>
    <t>โครงการก่อสร้างถนน คสล. ม.6 สายทางบ้านนางสาวลำภู พันนา – ท่าพิแปลง          กว้าง 4.00 เมตร หนา 0.15 เมตร ระยะทางยาวรวม 106.00 เมตร รวมพื้นที่คอนกรีต     ไม่น้อยกว่า 424 ตารางเมตร ( ตามแบบ ทถ-2-202 กับ ทถ-2-203 )</t>
  </si>
  <si>
    <t>โครงการก่อสร้างถนน คสล. หมู่ที่ 5 บ้านวังยาง สายทางจากท่าผู้ใหญ่ชวน       กว้าง 4.00 เมตร หนา 0.15 เมตร  ระยะทางยาวรวม  163 เมตร รวมพื้นที่คอนกรีต       ไม่น้อยกว่า 652 ตารางเมตร ( ตามแบบ ทถ-2-202 กับ ทถ-2-203 )</t>
  </si>
  <si>
    <t>โครงการก่อสร้างฐานรองรับถังบรรจุน้ำศูนย์พัฒนาเด็กเล็กบ้านวังยาง</t>
  </si>
  <si>
    <t>โครงการปรับปรุงศูนย์พัฒนาเด็กเล็กนำร่องบ้านบุ่งหวาย (อาคารเดิม)</t>
  </si>
  <si>
    <t>โครงการก่อสร้างถนน คสล.หมู่ที่ 16 จากบ้านนายอาวุฒิ ดวงน้อย กว้าง 4 ม.หนา 0.15 ม.ระยะยาว 139 ม.</t>
  </si>
  <si>
    <t>ข้อบัญญัติ 65 โอนตั้งใหม่ 30 ต.ค.65</t>
  </si>
  <si>
    <t xml:space="preserve">โครงการก่อสร้างถนนคอนกรีตเสริมเหล็ก หมู่ที่ 1 จากถนน 226-สามแยกบริการถ่ายทอดเทคโนโลยีการเกษตร กว้าง 4.00 เมตร หนา 0.15 เมตร ระยะทางยาวรวม 190.00 เมตร รวมพื้นที่คอนกรีตไม่น้อยกว่า 190 ตารางเมตร (ตามแบบ ทถ-2-202 กับ ทถ-2-203 ) </t>
  </si>
  <si>
    <t xml:space="preserve">โครงการก่อสร้างถนนคอนกรีตเสริมเหล็ก หมู่ที่ 3 สายทางถนน 226 (เสาโทรศัพท์) - ทางรถไฟ  กว้าง 4.00 เมตร หนา 0.15 เมตร ระยะทางยาวรวม 190.00 เมตร รวมพื้นที่คอนกรีตไม่น้อยกว่า 760 ตารางเมตร  (ตามแบบ ทถ-2-202 กับ ทถ-2-203 ) </t>
  </si>
  <si>
    <t>โครงการก่อสร้างถนนคอนกรีตเสริมเหล็ก หมู่ที่ 7 สายทางจากถนน 226 - สำอางเฟอร์นิเจอร์  กว้าง 4.00 เมตร หนา 0.15 เมตร ระยะทางยาวรวม 190.00 เมตร รวมพื้นที่คอนกรีตไม่น้อยกว่า 760 ตารางเมตร (ตามแบบ ทถ-2-202 กับ ทถ-2-203)</t>
  </si>
  <si>
    <t>โครงการก่อสร้างถนนคอนกรีตเสริมเหล็ก หมู่ที่ 11 บ้านโนนสวนเส้นทางรถไฟ -ทางไปบ้านใหม่บุญจันทร์ กว้าง 4.00 เมตร หนา 0.15 เมตร ระยะทางยาวรวม 190.00 เมตร รวมพื้นที่คอนกรีตไม่น้อยกว่า 760 ตารางเมตร  (ตามแบบ ทถ-2-202 กับ ทถ-2-203 ) (อนุมัติ 30 พ.ค.65)</t>
  </si>
  <si>
    <t xml:space="preserve">โครงการก่อสร้างถนนคอนกรีตเสริมเหล็ก หมู่ที่ 13 เส้นจากบ้านนายกลมเกลียว  วงศ์คำดี - บ้านนายลี พิมพะนา  กว้าง 3.00 เมตร หนา 0.15 เมตร ระยะทางยาวรวม 255.00 เมตร รวมพื้นที่คอนกรีตไม่น้อยกว่า 765 ตารางเมตร  (ตามแบบ ทถ-2-202 กับ ทถ-2-203 ) </t>
  </si>
  <si>
    <t>โครงการก่อสร้างถนนคอนกรีตเสริมเหล็ก หมู่ที่ 16  เส้นข้างสนามกีฬา กว้าง 4.00 เมตร หนา 0.15 เมตร ระยะทางยาวรวม 190.00 เมตร รวมพื้นที่คอนกรีตไม่น้อยกว่า 760 ตารางเมตร  (ตามแบบ ทถ-2-202 กับ ทถ-2-203 )</t>
  </si>
  <si>
    <t>เบืกจ่าย</t>
  </si>
  <si>
    <t>โครงการที่ดำเนินการ ประเภทงานก่อสร้าง ในปีงบประมาณ พ.ศ. 2566</t>
  </si>
  <si>
    <t>ดำเนินการแล้วเสร็จ</t>
  </si>
  <si>
    <t>ค่าวัสดุงานบ้านงานครัว</t>
  </si>
  <si>
    <t xml:space="preserve"> -ค่าอาหารเสริมนม(ศูนย์พัฒนาเด็กเล็ก อบต.บุ่งหวาย จำนวน241,442 บาท</t>
  </si>
  <si>
    <t xml:space="preserve"> -ค่าอาหารเสริม(นม)ของโรงเรียนสังกัด สพฐ.  จำนวน 1,326,010 บาท</t>
  </si>
  <si>
    <t xml:space="preserve"> -ค่าวัสดุงานบ้านงานครัว จำนวน 30,000 บาท</t>
  </si>
  <si>
    <t>โครงการสนับสนุนกิจการสภาเด็กในตำบลบุ่งหวาย</t>
  </si>
  <si>
    <t>โครงการส่งเสริมสนับสนุนการจัดงานประเพณีแห่เทียนจังหวัดอุบลราชธานี</t>
  </si>
  <si>
    <t>งานจราจร</t>
  </si>
  <si>
    <t>โครงการดำเนินการป้องกันและลดอุบัติทางถนนในช่วงเทศกาลและวันสำคัญต่างๆ</t>
  </si>
  <si>
    <t xml:space="preserve">                7.1 แผนงานบริหารทั่วไป</t>
  </si>
  <si>
    <t>โครงการสนับสนุนการดำเนินงานตามแนวทางโครงการพระราชดำริด้านสาะรณสุข</t>
  </si>
  <si>
    <t>27/2565</t>
  </si>
  <si>
    <t>13/9/2565</t>
  </si>
  <si>
    <t>12/12/2565</t>
  </si>
  <si>
    <t>หจก.ศิริมหาชัย</t>
  </si>
  <si>
    <t>22/2565</t>
  </si>
  <si>
    <t>18/8/2565</t>
  </si>
  <si>
    <t>17/10/2565</t>
  </si>
  <si>
    <t>ร้านศรีสะเกษไม้แบบ</t>
  </si>
  <si>
    <t>19/2565</t>
  </si>
  <si>
    <t>9/8/2565</t>
  </si>
  <si>
    <t>7/11/2565</t>
  </si>
  <si>
    <t>หจก.อุบลสุวกิต</t>
  </si>
  <si>
    <t>21/2565</t>
  </si>
  <si>
    <t>16/11/2565</t>
  </si>
  <si>
    <t>ร้านวินเนอร์พาณิชย์</t>
  </si>
  <si>
    <t>25/2565</t>
  </si>
  <si>
    <t>24/8/2565</t>
  </si>
  <si>
    <t>23/10/2565</t>
  </si>
  <si>
    <t>26/2565</t>
  </si>
  <si>
    <t>12/9/2565</t>
  </si>
  <si>
    <t>27/10/2565</t>
  </si>
  <si>
    <t>15/2566</t>
  </si>
  <si>
    <t>25/04/2566</t>
  </si>
  <si>
    <t>24/7/2566</t>
  </si>
  <si>
    <t>หจก.สุรินทร์ก่อสร้าง</t>
  </si>
  <si>
    <t>12/2566</t>
  </si>
  <si>
    <t>21/3/2566</t>
  </si>
  <si>
    <t>19/05/2566</t>
  </si>
  <si>
    <t>หจก.เจริญเกียรติฯ</t>
  </si>
  <si>
    <t>13/2566</t>
  </si>
  <si>
    <t>20/3/2566</t>
  </si>
  <si>
    <t>19/5/2566</t>
  </si>
  <si>
    <t>14/2566</t>
  </si>
  <si>
    <t>10/4/2566</t>
  </si>
  <si>
    <t>09/06/2566</t>
  </si>
  <si>
    <t>ป.ประสงค์ทรัพย์</t>
  </si>
  <si>
    <t>26/2566</t>
  </si>
  <si>
    <t>11/5/2566</t>
  </si>
  <si>
    <t>10/7/2566</t>
  </si>
  <si>
    <t>หจก.ณชัยรุ่งเรือง</t>
  </si>
  <si>
    <t>28/2566</t>
  </si>
  <si>
    <t>24/5/2566</t>
  </si>
  <si>
    <t>23/07/2566</t>
  </si>
  <si>
    <t>5/2566</t>
  </si>
  <si>
    <t>14/12/2566</t>
  </si>
  <si>
    <t>10/02/2566</t>
  </si>
  <si>
    <t>6/2566</t>
  </si>
  <si>
    <t>13/03/2566</t>
  </si>
  <si>
    <t>18/2566</t>
  </si>
  <si>
    <t>09/5/2566</t>
  </si>
  <si>
    <t>08/8/2566</t>
  </si>
  <si>
    <t>20/2566</t>
  </si>
  <si>
    <t>10/5/2566</t>
  </si>
  <si>
    <t>09/7/2566</t>
  </si>
  <si>
    <t>1/2566</t>
  </si>
  <si>
    <t>15/11/2565</t>
  </si>
  <si>
    <t>30/12/2565</t>
  </si>
  <si>
    <t>21/2566</t>
  </si>
  <si>
    <t>09/07/2566</t>
  </si>
  <si>
    <t>19/2566</t>
  </si>
  <si>
    <t>09/05/2566</t>
  </si>
  <si>
    <t>08/07/2566</t>
  </si>
  <si>
    <t>22/2566</t>
  </si>
  <si>
    <t>08/08/2566</t>
  </si>
  <si>
    <t>10/2566</t>
  </si>
  <si>
    <t>24/07/2566</t>
  </si>
  <si>
    <t>25/4/2566</t>
  </si>
  <si>
    <t>25/7/2566</t>
  </si>
  <si>
    <t>23/2566</t>
  </si>
  <si>
    <t>09/8/2566</t>
  </si>
  <si>
    <t>24/2566</t>
  </si>
  <si>
    <t>03/02/2566</t>
  </si>
  <si>
    <t>03/04/2566</t>
  </si>
  <si>
    <t>9/2566</t>
  </si>
  <si>
    <t>8/2566</t>
  </si>
  <si>
    <t>03/05/2566</t>
  </si>
  <si>
    <t>7/2566</t>
  </si>
  <si>
    <t>25/12/2565</t>
  </si>
  <si>
    <t>26/03/2566</t>
  </si>
  <si>
    <t>30/2566</t>
  </si>
  <si>
    <t>23/7/2566</t>
  </si>
  <si>
    <t>ร้านศักดารับเหมาก่อสร้าง</t>
  </si>
  <si>
    <t>29/2566</t>
  </si>
  <si>
    <t>31/2566</t>
  </si>
  <si>
    <t>เบิกจ่าย</t>
  </si>
  <si>
    <t xml:space="preserve">โครงการที่ดำเนินการจัดจ้าง ประเภทงานก่อสร้าง  </t>
  </si>
  <si>
    <t>ที่ดำเนินการในปีงบประมาณ พ.ศ. 2566</t>
  </si>
  <si>
    <t>โครงการที่ได้รับการอนุมัติงบประมาณ  และจะดำเนินการจัดจ้าง ในปีงบประมาณ พ.ศ.2567</t>
  </si>
  <si>
    <t>ด้านคมนาคมและโครงสร้างพื้นฐาน</t>
  </si>
  <si>
    <t>(ระหว่างเดือนตุลาคม 2565 -เดือนมีนาคม 2566)</t>
  </si>
  <si>
    <t>จำนวนโครงการที่อนุมัติงบประมาณ  และนำไปปฏิบัติ ในปีงบประมาณ พ.ศ.2566</t>
  </si>
  <si>
    <t>ยุทธศาสตร์</t>
  </si>
  <si>
    <t>ข้อบัญญัติ ปี 2566</t>
  </si>
  <si>
    <t>สรุปการรายงานการติดตามและประเมินผลแผนการดำเนินงาน  ประจำปีงบประมาณ พ.ศ.2567</t>
  </si>
  <si>
    <t>จำนวนโครงการที่อนุมัติงบประมาณ  และนำไปปฏิบัติ ในปีงบประมาณ พ.ศ.2567</t>
  </si>
  <si>
    <t>สรุปการรายงานการติดตามและประเมินผลแผนการดำเนินงาน  ประจำปีงบประมาณ พ.ศ.2569</t>
  </si>
  <si>
    <t>จำนวนโครงการที่อนุมัติงบประมาณ  และนำไปปฏิบัติ ในปีงบประมาณ พ.ศ.2569</t>
  </si>
  <si>
    <t>ข้อบัญญัติ ปี 2565</t>
  </si>
  <si>
    <t>จ่ายขาดเงินสะสม ปี พ.ศ. 2565</t>
  </si>
  <si>
    <t>ข้อบัญญัติปี พ.ศ.2564</t>
  </si>
  <si>
    <t>(ระหว่างเดือนตุลาคม 2565 -เดือนกันยายน 2566)</t>
  </si>
  <si>
    <t>จำนวนโครงการตามแผนพัฒนาท้องถิ่นพ.ศ.2566-2570และที่เพิ่มเติม</t>
  </si>
  <si>
    <t>องค์การบริหารส่วนตำบลบุ่งหวาย  มีการใช้จ่ายงบประมาณในการดำเนินงาน/โครงการ/กิจกรรม  ตามข้อบัญญัติ</t>
  </si>
  <si>
    <t>งบประมาณ  เงินสะสม  เงินทุนสำรองเงินสะสม</t>
  </si>
  <si>
    <t>ยุทธศาสตร์การพัฒนาและแผนงาน</t>
  </si>
  <si>
    <t>แผนงาน</t>
  </si>
  <si>
    <t>การอนุมัติงบประมาณ</t>
  </si>
  <si>
    <t>จำนวนเงิน</t>
  </si>
  <si>
    <t>1. ด้านการคมนาคมและโครงสร้างพื้นฐาน</t>
  </si>
  <si>
    <t>อุตสาหกรรมและการโยธา</t>
  </si>
  <si>
    <t>เคหะและชุมชน</t>
  </si>
  <si>
    <t>2. ด้านเศรษฐกิจ</t>
  </si>
  <si>
    <t>แผนงานสร้างความเข้มแข็งให้กับชุมชน</t>
  </si>
  <si>
    <t>3. ด้านการศึกษา ศาสนาและวัฒนธรรม</t>
  </si>
  <si>
    <t>แผนการศึกษา</t>
  </si>
  <si>
    <t>แผนงานการศาสนาวัฒนธรรมและนันทนาการ</t>
  </si>
  <si>
    <t>4. การพัฒนาด้านสาธารณสุข</t>
  </si>
  <si>
    <t>การสาธารณสุข</t>
  </si>
  <si>
    <t>สำนักงานปลัด</t>
  </si>
  <si>
    <t>5. การพัฒนาด้านทรัพยากรและสิ่งแวดล้อม</t>
  </si>
  <si>
    <t>6. การพัฒนาด้านการท่องเที่ยว</t>
  </si>
  <si>
    <t>การศาสนาวัฒนธรรมและนันทนาการ</t>
  </si>
  <si>
    <t>7. การพัฒนาด้านการเมืองการบริหาร</t>
  </si>
  <si>
    <t>แผนงานบริหารทั่วไป</t>
  </si>
  <si>
    <t>แผนงานบริหารงานคลัง</t>
  </si>
  <si>
    <t>แผนงานการรักษาความสงบภายใน</t>
  </si>
  <si>
    <t>การติดตามและประเมินผลโครงการ ปีงบประมาณ พ.ศ.2566</t>
  </si>
  <si>
    <t>แผนงานการเกษตร</t>
  </si>
  <si>
    <t>แผนงานเคหะและชุมชน</t>
  </si>
  <si>
    <t>อนุมัติโครงการ/กิจกรรม</t>
  </si>
  <si>
    <t>ก่อหนี้ผูกพัน/ลงนามในสัญญา</t>
  </si>
  <si>
    <t>การเบิกจ่าย</t>
  </si>
  <si>
    <t>เงินคงเหลือ</t>
  </si>
  <si>
    <t>ปี 2565</t>
  </si>
  <si>
    <t>งบประมาณ</t>
  </si>
  <si>
    <t>โครงการ</t>
  </si>
  <si>
    <t>ปี 2566</t>
  </si>
  <si>
    <t>แผน(2566-2570)</t>
  </si>
  <si>
    <t xml:space="preserve">โครงการก่อหนี้ผูกพัน 6 โครงการ </t>
  </si>
  <si>
    <t xml:space="preserve">โครงการก่อหนี้ผูกพัน 3 โครงการ </t>
  </si>
  <si>
    <t xml:space="preserve">โครงการก่อหนี้ผูกพัน 1 โครงการ </t>
  </si>
  <si>
    <t>จำนวนโครงการอยู่ระหว่างดำเนินการในปีงบประมาณ 2567</t>
  </si>
  <si>
    <t>ปี 2564</t>
  </si>
  <si>
    <t xml:space="preserve">จำนวนโครงการที่อนุมัติงบประมาณในข้อบัญญัติงบประมาณปี 2566  </t>
  </si>
  <si>
    <t xml:space="preserve">จำนวนโครงการที่อนุมัติงบประมาณในข้อบัญญัติงบประมาณปี 2565  </t>
  </si>
  <si>
    <t>จำนวนโครงการที่จ่ายขาดเงินสะสม ปี 2565</t>
  </si>
  <si>
    <t>จำนวนโครงการที่อนุมัติงบประมาณในข้อบัญญัติงบประมาณ ปี 2564</t>
  </si>
  <si>
    <t>การดำเนินโครงการ/การเบิกจ่าย</t>
  </si>
  <si>
    <t>จำนวนโครงการที่อนุมัติงบประมาณในข้อบัญญัติงบประมาณ ปี 2567</t>
  </si>
  <si>
    <t>ผลการดำเนินงานตามแผนพัฒนาท้องถิ่น</t>
  </si>
  <si>
    <t>การนำแผนพัฒนาไปปฏิบัติ/อนุมัติโครงการและงบประมาณ</t>
  </si>
  <si>
    <t>คิดเป็นร้อยละ</t>
  </si>
  <si>
    <t>ภาครัฐ ภาคเอกชนในพื้นที่ ตลอดจนโครงการต่างประสบความสำเร็จด้วยดีและก่อให้เกิดประโยชน์แก่ประชานทั้งในพื้นที่และพื้นที่ใกล้เคียง โดยมีผลการดำเนินงานที่สำคัญดังนี้</t>
  </si>
  <si>
    <t>ของแผนพัฒนาทั้งหมด</t>
  </si>
  <si>
    <t>นำแผนพัฒนาไปปฏิบัติ</t>
  </si>
  <si>
    <t>คิดเป็นร้อยละของการนำแผนพัฒนาไปปฏิบัติ</t>
  </si>
  <si>
    <t>แผนพัฒนาท้องถิ่น(พ.ศ.2566-2570)ทั้งหมด</t>
  </si>
  <si>
    <t>องค์การบริหารส่วนตำบลบุ่งหวาย  ได้ดำเนินการโครงการตามข้อบัญญัติงบประมาณ ปี 2566  ในเขตพื้นที่ โดยได้รับความร่วมมือ การส่งเสริมและสนับสนุนจากภาคประชาชน</t>
  </si>
  <si>
    <t>แผนพัฒนาท้องถิ่นพ.ศ.2566-2570 จำนวนทั้งสิ้น  227 โครงการ สามารถนำโครงการตามแผนพัฒนาไปปฏิบัติ  จำนวน  48 โครงการ  ซึ่งคิดเป็นiร้อยละ 11.86</t>
  </si>
  <si>
    <t>แผนพัฒนาปี2566-2570</t>
  </si>
  <si>
    <t>(ระหว่างเดือนตุลาคม 2565 - เดือนกันยายน 2566</t>
  </si>
  <si>
    <t>รายการ</t>
  </si>
  <si>
    <t>ประมาณการ ข้อบัญญัติ</t>
  </si>
  <si>
    <t>โอนเพิ่ม</t>
  </si>
  <si>
    <t>โอนลด</t>
  </si>
  <si>
    <t>ประมาณการ คงเหลือ</t>
  </si>
  <si>
    <t>รายจ่ายจริง</t>
  </si>
  <si>
    <t>งบกลาง</t>
  </si>
  <si>
    <t>หมวดเงินเดือน (ฝ่ายการเมือง)</t>
  </si>
  <si>
    <t>หมวดเงินเดือน (ฝ่ายประจำ)</t>
  </si>
  <si>
    <t>หมวดค่าตอบแทน</t>
  </si>
  <si>
    <t>หมวดค่าใช้สอย</t>
  </si>
  <si>
    <t>หมวดค่าวัสดุ</t>
  </si>
  <si>
    <t>หมวดค่าสาธารณูปโภค</t>
  </si>
  <si>
    <t>หมวดค่าครุภัณฑ์</t>
  </si>
  <si>
    <t>หมวดค่าที่ดินและสิ่งก่อสร้าง</t>
  </si>
  <si>
    <t>หมวดเงินอุดหนุน</t>
  </si>
  <si>
    <t>หมวดรายจ่ายอื่น</t>
  </si>
  <si>
    <t>รวมรายจ่ายทั้งสิ้น</t>
  </si>
  <si>
    <t>ผูกพัน</t>
  </si>
  <si>
    <t>โครงการเสริมผิวจราจรแอสฟัลท์ติกคอนกรีตหมู่ที่ 19 เส้นจากถนน 226 หน้า อบต.บุ่งหวาย ถึงหลังโรงเรียนบ้านบุ่งหวาย  ปริมาณงาน ผิวจราจรกว้าง 4 เมตร ยาว 260  เมตร มีพื้นที่ AC รวมกัน 1,040 ตร.ม.  (ตามแบบองค์การบริหารส่วนตำบลบุ่งหวาย กำหนด)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</si>
</sst>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[$-1041E]#,##0.00;\-#,##0.00"/>
    <numFmt numFmtId="189" formatCode="0.0"/>
  </numFmts>
  <fonts count="24" x14ac:knownFonts="1">
    <font>
      <sz val="16"/>
      <color theme="1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sz val="16"/>
      <name val="TH SarabunIT๙"/>
      <family val="2"/>
    </font>
    <font>
      <sz val="10"/>
      <name val="Arial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sz val="13"/>
      <name val="TH SarabunIT๙"/>
      <family val="2"/>
    </font>
    <font>
      <b/>
      <sz val="20"/>
      <color theme="1"/>
      <name val="TH SarabunIT๙"/>
      <family val="2"/>
    </font>
    <font>
      <b/>
      <sz val="13"/>
      <color theme="1"/>
      <name val="TH SarabunIT๙"/>
      <family val="2"/>
    </font>
    <font>
      <b/>
      <sz val="10"/>
      <color theme="1"/>
      <name val="TH SarabunIT๙"/>
      <family val="2"/>
    </font>
    <font>
      <sz val="8"/>
      <name val="TH SarabunIT๙"/>
      <family val="2"/>
      <charset val="222"/>
    </font>
    <font>
      <sz val="16"/>
      <color rgb="FFFF0000"/>
      <name val="TH SarabunIT๙"/>
      <family val="2"/>
      <charset val="222"/>
    </font>
    <font>
      <sz val="14"/>
      <color theme="1"/>
      <name val="TH SarabunIT๙"/>
      <family val="2"/>
    </font>
    <font>
      <b/>
      <sz val="18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0"/>
  </cellStyleXfs>
  <cellXfs count="387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1" xfId="0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37" fontId="6" fillId="0" borderId="1" xfId="1" applyNumberFormat="1" applyFont="1" applyFill="1" applyBorder="1" applyAlignment="1">
      <alignment horizontal="center" vertical="top"/>
    </xf>
    <xf numFmtId="3" fontId="4" fillId="0" borderId="0" xfId="0" applyNumberFormat="1" applyFont="1"/>
    <xf numFmtId="3" fontId="4" fillId="0" borderId="1" xfId="0" applyNumberFormat="1" applyFont="1" applyBorder="1" applyAlignment="1">
      <alignment vertical="center" wrapText="1"/>
    </xf>
    <xf numFmtId="3" fontId="6" fillId="0" borderId="1" xfId="1" applyNumberFormat="1" applyFont="1" applyBorder="1" applyAlignment="1">
      <alignment vertical="top" wrapText="1"/>
    </xf>
    <xf numFmtId="37" fontId="6" fillId="0" borderId="1" xfId="1" applyNumberFormat="1" applyFont="1" applyFill="1" applyBorder="1" applyAlignment="1">
      <alignment vertical="top"/>
    </xf>
    <xf numFmtId="61" fontId="6" fillId="0" borderId="1" xfId="0" applyNumberFormat="1" applyFont="1" applyBorder="1" applyAlignment="1">
      <alignment vertical="top"/>
    </xf>
    <xf numFmtId="3" fontId="0" fillId="0" borderId="0" xfId="0" applyNumberFormat="1"/>
    <xf numFmtId="37" fontId="6" fillId="0" borderId="1" xfId="0" applyNumberFormat="1" applyFont="1" applyBorder="1" applyAlignment="1">
      <alignment horizontal="right" vertical="top"/>
    </xf>
    <xf numFmtId="37" fontId="6" fillId="0" borderId="4" xfId="1" applyNumberFormat="1" applyFont="1" applyFill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0" fontId="0" fillId="0" borderId="1" xfId="0" applyBorder="1"/>
    <xf numFmtId="3" fontId="6" fillId="0" borderId="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vertical="top" wrapText="1"/>
    </xf>
    <xf numFmtId="37" fontId="6" fillId="0" borderId="3" xfId="1" applyNumberFormat="1" applyFont="1" applyFill="1" applyBorder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37" fontId="6" fillId="2" borderId="1" xfId="0" applyNumberFormat="1" applyFont="1" applyFill="1" applyBorder="1" applyAlignment="1">
      <alignment vertical="top"/>
    </xf>
    <xf numFmtId="37" fontId="6" fillId="0" borderId="3" xfId="0" applyNumberFormat="1" applyFont="1" applyBorder="1" applyAlignment="1">
      <alignment vertical="top"/>
    </xf>
    <xf numFmtId="37" fontId="6" fillId="0" borderId="1" xfId="0" applyNumberFormat="1" applyFont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187" fontId="4" fillId="2" borderId="1" xfId="1" applyNumberFormat="1" applyFon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top" wrapText="1"/>
    </xf>
    <xf numFmtId="37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37" fontId="6" fillId="2" borderId="1" xfId="0" applyNumberFormat="1" applyFont="1" applyFill="1" applyBorder="1" applyAlignment="1">
      <alignment horizontal="center" vertical="top"/>
    </xf>
    <xf numFmtId="0" fontId="4" fillId="2" borderId="4" xfId="2" applyFont="1" applyFill="1" applyBorder="1" applyAlignment="1" applyProtection="1">
      <alignment vertical="top" wrapText="1" readingOrder="1"/>
      <protection locked="0"/>
    </xf>
    <xf numFmtId="61" fontId="4" fillId="2" borderId="4" xfId="2" applyNumberFormat="1" applyFont="1" applyFill="1" applyBorder="1" applyAlignment="1">
      <alignment vertical="top"/>
    </xf>
    <xf numFmtId="0" fontId="4" fillId="2" borderId="1" xfId="2" applyFont="1" applyFill="1" applyBorder="1" applyAlignment="1" applyProtection="1">
      <alignment vertical="top" wrapText="1" readingOrder="1"/>
      <protection locked="0"/>
    </xf>
    <xf numFmtId="61" fontId="4" fillId="2" borderId="1" xfId="2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top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37" fontId="6" fillId="0" borderId="0" xfId="1" applyNumberFormat="1" applyFont="1" applyFill="1" applyBorder="1" applyAlignment="1">
      <alignment horizontal="center" vertical="top"/>
    </xf>
    <xf numFmtId="3" fontId="4" fillId="0" borderId="0" xfId="0" applyNumberFormat="1" applyFont="1" applyAlignment="1">
      <alignment horizontal="right" vertical="top"/>
    </xf>
    <xf numFmtId="61" fontId="4" fillId="2" borderId="1" xfId="0" applyNumberFormat="1" applyFont="1" applyFill="1" applyBorder="1" applyAlignment="1">
      <alignment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3" fontId="6" fillId="2" borderId="1" xfId="0" applyNumberFormat="1" applyFont="1" applyFill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37" fontId="0" fillId="0" borderId="1" xfId="0" applyNumberFormat="1" applyBorder="1" applyAlignment="1">
      <alignment vertical="top"/>
    </xf>
    <xf numFmtId="3" fontId="0" fillId="0" borderId="1" xfId="0" applyNumberFormat="1" applyBorder="1"/>
    <xf numFmtId="37" fontId="6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187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37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43" fontId="0" fillId="0" borderId="1" xfId="0" applyNumberFormat="1" applyBorder="1"/>
    <xf numFmtId="0" fontId="4" fillId="0" borderId="1" xfId="3" applyFont="1" applyBorder="1" applyAlignment="1">
      <alignment horizontal="left" vertical="top" wrapText="1"/>
    </xf>
    <xf numFmtId="0" fontId="8" fillId="0" borderId="9" xfId="3" applyFont="1" applyBorder="1" applyAlignment="1">
      <alignment horizontal="center" vertical="top" wrapText="1"/>
    </xf>
    <xf numFmtId="0" fontId="4" fillId="0" borderId="0" xfId="3" applyFont="1" applyAlignment="1">
      <alignment horizontal="center" vertical="top"/>
    </xf>
    <xf numFmtId="0" fontId="8" fillId="0" borderId="1" xfId="3" applyFont="1" applyBorder="1" applyAlignment="1">
      <alignment horizontal="center" vertical="top" wrapText="1"/>
    </xf>
    <xf numFmtId="187" fontId="8" fillId="0" borderId="1" xfId="1" applyNumberFormat="1" applyFont="1" applyFill="1" applyBorder="1" applyAlignment="1">
      <alignment horizontal="center" vertical="top" wrapText="1"/>
    </xf>
    <xf numFmtId="0" fontId="8" fillId="0" borderId="0" xfId="3" applyFont="1" applyAlignment="1">
      <alignment horizontal="center" vertical="top" wrapText="1"/>
    </xf>
    <xf numFmtId="0" fontId="4" fillId="0" borderId="1" xfId="3" applyFont="1" applyBorder="1" applyAlignment="1">
      <alignment horizontal="center" vertical="top" wrapText="1"/>
    </xf>
    <xf numFmtId="0" fontId="4" fillId="0" borderId="1" xfId="3" applyFont="1" applyBorder="1" applyAlignment="1" applyProtection="1">
      <alignment horizontal="left" vertical="top" wrapText="1" readingOrder="1"/>
      <protection locked="0"/>
    </xf>
    <xf numFmtId="187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0" xfId="3" applyFont="1" applyAlignment="1">
      <alignment horizontal="left" vertical="top"/>
    </xf>
    <xf numFmtId="0" fontId="6" fillId="0" borderId="1" xfId="0" applyFont="1" applyBorder="1" applyAlignment="1" applyProtection="1">
      <alignment vertical="top" wrapText="1" readingOrder="1"/>
      <protection locked="0"/>
    </xf>
    <xf numFmtId="187" fontId="6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187" fontId="4" fillId="0" borderId="1" xfId="1" applyNumberFormat="1" applyFont="1" applyFill="1" applyBorder="1" applyAlignment="1">
      <alignment horizontal="right" vertical="top" wrapText="1"/>
    </xf>
    <xf numFmtId="187" fontId="4" fillId="0" borderId="1" xfId="1" applyNumberFormat="1" applyFont="1" applyFill="1" applyBorder="1" applyAlignment="1">
      <alignment horizontal="left" vertical="top" wrapText="1"/>
    </xf>
    <xf numFmtId="0" fontId="4" fillId="0" borderId="0" xfId="3" applyFont="1" applyAlignment="1">
      <alignment horizontal="center" vertical="top" wrapText="1"/>
    </xf>
    <xf numFmtId="0" fontId="4" fillId="0" borderId="0" xfId="3" applyFont="1" applyAlignment="1">
      <alignment horizontal="left" vertical="top" wrapText="1"/>
    </xf>
    <xf numFmtId="187" fontId="4" fillId="0" borderId="0" xfId="1" applyNumberFormat="1" applyFont="1" applyFill="1" applyAlignment="1">
      <alignment horizontal="center" vertical="top" wrapText="1"/>
    </xf>
    <xf numFmtId="187" fontId="6" fillId="0" borderId="1" xfId="1" applyNumberFormat="1" applyFont="1" applyFill="1" applyBorder="1" applyAlignment="1">
      <alignment vertical="top" wrapText="1"/>
    </xf>
    <xf numFmtId="187" fontId="4" fillId="0" borderId="0" xfId="1" applyNumberFormat="1" applyFont="1" applyFill="1" applyBorder="1" applyAlignment="1">
      <alignment horizontal="left" vertical="top" wrapText="1"/>
    </xf>
    <xf numFmtId="187" fontId="4" fillId="0" borderId="0" xfId="1" applyNumberFormat="1" applyFont="1" applyFill="1" applyAlignment="1">
      <alignment horizontal="left" vertical="top" wrapText="1"/>
    </xf>
    <xf numFmtId="14" fontId="4" fillId="0" borderId="1" xfId="3" applyNumberFormat="1" applyFont="1" applyBorder="1" applyAlignment="1">
      <alignment horizontal="center" vertical="top" wrapText="1"/>
    </xf>
    <xf numFmtId="187" fontId="4" fillId="0" borderId="1" xfId="1" applyNumberFormat="1" applyFont="1" applyFill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/>
    </xf>
    <xf numFmtId="0" fontId="6" fillId="2" borderId="3" xfId="0" applyFont="1" applyFill="1" applyBorder="1" applyAlignment="1">
      <alignment vertical="top" wrapText="1"/>
    </xf>
    <xf numFmtId="37" fontId="6" fillId="2" borderId="3" xfId="0" applyNumberFormat="1" applyFont="1" applyFill="1" applyBorder="1" applyAlignment="1">
      <alignment vertical="top"/>
    </xf>
    <xf numFmtId="0" fontId="6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6" fillId="2" borderId="5" xfId="0" applyFont="1" applyFill="1" applyBorder="1" applyAlignment="1">
      <alignment vertical="top" wrapText="1"/>
    </xf>
    <xf numFmtId="37" fontId="6" fillId="2" borderId="5" xfId="0" applyNumberFormat="1" applyFont="1" applyFill="1" applyBorder="1" applyAlignment="1">
      <alignment vertical="top"/>
    </xf>
    <xf numFmtId="3" fontId="6" fillId="0" borderId="5" xfId="0" applyNumberFormat="1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/>
    <xf numFmtId="43" fontId="0" fillId="0" borderId="5" xfId="1" applyFont="1" applyBorder="1" applyAlignment="1">
      <alignment vertical="top"/>
    </xf>
    <xf numFmtId="43" fontId="0" fillId="0" borderId="5" xfId="0" applyNumberFormat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0" fontId="6" fillId="2" borderId="4" xfId="0" applyFont="1" applyFill="1" applyBorder="1" applyAlignment="1">
      <alignment vertical="top" wrapText="1"/>
    </xf>
    <xf numFmtId="187" fontId="6" fillId="2" borderId="4" xfId="1" applyNumberFormat="1" applyFont="1" applyFill="1" applyBorder="1" applyAlignment="1">
      <alignment vertical="top"/>
    </xf>
    <xf numFmtId="0" fontId="0" fillId="0" borderId="4" xfId="0" applyBorder="1"/>
    <xf numFmtId="43" fontId="0" fillId="0" borderId="4" xfId="1" applyFont="1" applyBorder="1" applyAlignment="1">
      <alignment vertical="top"/>
    </xf>
    <xf numFmtId="43" fontId="0" fillId="0" borderId="4" xfId="0" applyNumberForma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right" vertical="top" wrapText="1"/>
    </xf>
    <xf numFmtId="187" fontId="6" fillId="0" borderId="1" xfId="1" applyNumberFormat="1" applyFont="1" applyBorder="1" applyAlignment="1">
      <alignment horizontal="right" vertical="top" wrapText="1"/>
    </xf>
    <xf numFmtId="187" fontId="0" fillId="0" borderId="1" xfId="0" applyNumberFormat="1" applyBorder="1"/>
    <xf numFmtId="61" fontId="4" fillId="0" borderId="7" xfId="0" applyNumberFormat="1" applyFont="1" applyBorder="1" applyAlignment="1">
      <alignment vertical="top"/>
    </xf>
    <xf numFmtId="0" fontId="4" fillId="0" borderId="7" xfId="0" applyFont="1" applyBorder="1" applyAlignment="1">
      <alignment vertical="top"/>
    </xf>
    <xf numFmtId="3" fontId="4" fillId="0" borderId="7" xfId="0" applyNumberFormat="1" applyFont="1" applyBorder="1" applyAlignment="1">
      <alignment vertical="top"/>
    </xf>
    <xf numFmtId="3" fontId="4" fillId="0" borderId="7" xfId="0" applyNumberFormat="1" applyFont="1" applyBorder="1" applyAlignment="1">
      <alignment horizontal="right" vertical="top"/>
    </xf>
    <xf numFmtId="187" fontId="4" fillId="0" borderId="1" xfId="1" applyNumberFormat="1" applyFont="1" applyBorder="1" applyAlignment="1">
      <alignment horizontal="right" vertical="top"/>
    </xf>
    <xf numFmtId="0" fontId="4" fillId="2" borderId="3" xfId="2" applyFont="1" applyFill="1" applyBorder="1" applyAlignment="1" applyProtection="1">
      <alignment vertical="top" wrapText="1" readingOrder="1"/>
      <protection locked="0"/>
    </xf>
    <xf numFmtId="61" fontId="4" fillId="2" borderId="3" xfId="2" applyNumberFormat="1" applyFont="1" applyFill="1" applyBorder="1" applyAlignment="1">
      <alignment vertical="top"/>
    </xf>
    <xf numFmtId="0" fontId="4" fillId="0" borderId="3" xfId="0" applyFont="1" applyBorder="1" applyAlignment="1">
      <alignment horizontal="right" vertical="top"/>
    </xf>
    <xf numFmtId="3" fontId="4" fillId="0" borderId="3" xfId="0" applyNumberFormat="1" applyFont="1" applyBorder="1" applyAlignment="1">
      <alignment horizontal="right" vertical="top"/>
    </xf>
    <xf numFmtId="187" fontId="4" fillId="0" borderId="3" xfId="1" applyNumberFormat="1" applyFont="1" applyBorder="1" applyAlignment="1">
      <alignment horizontal="right" vertical="top"/>
    </xf>
    <xf numFmtId="0" fontId="4" fillId="0" borderId="3" xfId="0" applyFont="1" applyBorder="1" applyAlignment="1">
      <alignment vertical="top"/>
    </xf>
    <xf numFmtId="37" fontId="6" fillId="0" borderId="2" xfId="1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6" fillId="0" borderId="2" xfId="0" applyFont="1" applyBorder="1" applyAlignment="1">
      <alignment vertical="top" wrapText="1"/>
    </xf>
    <xf numFmtId="0" fontId="0" fillId="0" borderId="2" xfId="0" applyBorder="1"/>
    <xf numFmtId="0" fontId="4" fillId="0" borderId="8" xfId="0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3" fontId="0" fillId="0" borderId="4" xfId="0" applyNumberFormat="1" applyBorder="1"/>
    <xf numFmtId="187" fontId="0" fillId="0" borderId="4" xfId="0" applyNumberFormat="1" applyBorder="1"/>
    <xf numFmtId="37" fontId="0" fillId="0" borderId="4" xfId="0" applyNumberForma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/>
    <xf numFmtId="187" fontId="10" fillId="0" borderId="1" xfId="1" applyNumberFormat="1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3" applyFont="1" applyBorder="1" applyAlignment="1">
      <alignment horizontal="left" vertical="top" wrapText="1"/>
    </xf>
    <xf numFmtId="0" fontId="6" fillId="0" borderId="0" xfId="0" applyFont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vertical="top"/>
    </xf>
    <xf numFmtId="187" fontId="6" fillId="0" borderId="1" xfId="1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12" fillId="0" borderId="0" xfId="3" applyFont="1" applyAlignment="1">
      <alignment horizontal="center" vertical="top"/>
    </xf>
    <xf numFmtId="0" fontId="11" fillId="0" borderId="1" xfId="3" applyFont="1" applyBorder="1" applyAlignment="1">
      <alignment horizontal="center" vertical="top" wrapText="1"/>
    </xf>
    <xf numFmtId="187" fontId="11" fillId="0" borderId="1" xfId="1" applyNumberFormat="1" applyFont="1" applyFill="1" applyBorder="1" applyAlignment="1">
      <alignment horizontal="center" vertical="top" wrapText="1"/>
    </xf>
    <xf numFmtId="43" fontId="11" fillId="0" borderId="1" xfId="1" applyFont="1" applyFill="1" applyBorder="1" applyAlignment="1">
      <alignment horizontal="center" vertical="top" wrapText="1"/>
    </xf>
    <xf numFmtId="49" fontId="11" fillId="0" borderId="1" xfId="3" applyNumberFormat="1" applyFont="1" applyBorder="1" applyAlignment="1">
      <alignment horizontal="center" vertical="top" wrapText="1"/>
    </xf>
    <xf numFmtId="0" fontId="11" fillId="0" borderId="0" xfId="3" applyFont="1" applyAlignment="1">
      <alignment horizontal="center" vertical="top" wrapText="1"/>
    </xf>
    <xf numFmtId="0" fontId="13" fillId="0" borderId="1" xfId="3" applyFont="1" applyBorder="1" applyAlignment="1">
      <alignment horizontal="center" vertical="top" wrapText="1"/>
    </xf>
    <xf numFmtId="0" fontId="13" fillId="0" borderId="1" xfId="3" applyFont="1" applyBorder="1" applyAlignment="1">
      <alignment horizontal="left" vertical="top" wrapText="1"/>
    </xf>
    <xf numFmtId="0" fontId="12" fillId="0" borderId="1" xfId="3" applyFont="1" applyBorder="1" applyAlignment="1">
      <alignment horizontal="center" vertical="top" wrapText="1"/>
    </xf>
    <xf numFmtId="187" fontId="13" fillId="0" borderId="1" xfId="1" applyNumberFormat="1" applyFont="1" applyFill="1" applyBorder="1" applyAlignment="1">
      <alignment horizontal="left" vertical="top" wrapText="1"/>
    </xf>
    <xf numFmtId="43" fontId="14" fillId="0" borderId="1" xfId="1" applyFont="1" applyFill="1" applyBorder="1" applyAlignment="1">
      <alignment vertical="top" wrapText="1"/>
    </xf>
    <xf numFmtId="43" fontId="13" fillId="0" borderId="1" xfId="1" applyFont="1" applyFill="1" applyBorder="1" applyAlignment="1">
      <alignment horizontal="left" vertical="top" wrapText="1"/>
    </xf>
    <xf numFmtId="49" fontId="13" fillId="0" borderId="1" xfId="3" applyNumberFormat="1" applyFont="1" applyBorder="1" applyAlignment="1">
      <alignment horizontal="center" vertical="top" wrapText="1"/>
    </xf>
    <xf numFmtId="0" fontId="15" fillId="0" borderId="1" xfId="3" applyFont="1" applyBorder="1" applyAlignment="1">
      <alignment horizontal="center" vertical="top" wrapText="1"/>
    </xf>
    <xf numFmtId="0" fontId="13" fillId="0" borderId="0" xfId="3" applyFont="1" applyAlignment="1">
      <alignment horizontal="left" vertical="top"/>
    </xf>
    <xf numFmtId="0" fontId="12" fillId="0" borderId="1" xfId="0" applyFont="1" applyBorder="1" applyAlignment="1">
      <alignment vertical="top" wrapText="1"/>
    </xf>
    <xf numFmtId="4" fontId="12" fillId="0" borderId="1" xfId="0" applyNumberFormat="1" applyFont="1" applyBorder="1" applyAlignment="1">
      <alignment horizontal="right" vertical="top" wrapText="1"/>
    </xf>
    <xf numFmtId="43" fontId="12" fillId="0" borderId="1" xfId="1" applyFont="1" applyFill="1" applyBorder="1" applyAlignment="1">
      <alignment horizontal="left" vertical="top" wrapText="1"/>
    </xf>
    <xf numFmtId="49" fontId="12" fillId="0" borderId="1" xfId="3" applyNumberFormat="1" applyFont="1" applyBorder="1" applyAlignment="1">
      <alignment horizontal="center" vertical="top" wrapText="1"/>
    </xf>
    <xf numFmtId="14" fontId="12" fillId="0" borderId="1" xfId="3" applyNumberFormat="1" applyFont="1" applyBorder="1" applyAlignment="1">
      <alignment horizontal="center" vertical="top" wrapText="1"/>
    </xf>
    <xf numFmtId="14" fontId="11" fillId="0" borderId="1" xfId="3" applyNumberFormat="1" applyFont="1" applyBorder="1" applyAlignment="1">
      <alignment horizontal="center" vertical="top" wrapText="1"/>
    </xf>
    <xf numFmtId="0" fontId="12" fillId="0" borderId="0" xfId="3" applyFont="1" applyAlignment="1">
      <alignment horizontal="left" vertical="top"/>
    </xf>
    <xf numFmtId="4" fontId="12" fillId="0" borderId="1" xfId="0" applyNumberFormat="1" applyFont="1" applyBorder="1" applyAlignment="1">
      <alignment horizontal="center" vertical="top" wrapText="1"/>
    </xf>
    <xf numFmtId="0" fontId="12" fillId="0" borderId="1" xfId="3" applyFont="1" applyBorder="1" applyAlignment="1">
      <alignment horizontal="left" vertical="top" wrapText="1"/>
    </xf>
    <xf numFmtId="187" fontId="12" fillId="0" borderId="1" xfId="1" applyNumberFormat="1" applyFont="1" applyFill="1" applyBorder="1" applyAlignment="1">
      <alignment horizontal="left" vertical="top" wrapText="1"/>
    </xf>
    <xf numFmtId="0" fontId="12" fillId="0" borderId="1" xfId="0" applyFont="1" applyBorder="1" applyAlignment="1" applyProtection="1">
      <alignment horizontal="center" vertical="top" wrapText="1" readingOrder="1"/>
      <protection locked="0"/>
    </xf>
    <xf numFmtId="0" fontId="12" fillId="0" borderId="0" xfId="3" applyFont="1" applyAlignment="1">
      <alignment horizontal="center" vertical="top" wrapText="1"/>
    </xf>
    <xf numFmtId="0" fontId="12" fillId="0" borderId="1" xfId="0" applyFont="1" applyBorder="1" applyAlignment="1" applyProtection="1">
      <alignment vertical="top" wrapText="1" readingOrder="1"/>
      <protection locked="0"/>
    </xf>
    <xf numFmtId="0" fontId="12" fillId="0" borderId="1" xfId="3" applyFont="1" applyBorder="1" applyAlignment="1">
      <alignment horizontal="center" vertical="top"/>
    </xf>
    <xf numFmtId="188" fontId="1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2" fillId="0" borderId="0" xfId="3" applyFont="1" applyAlignment="1">
      <alignment horizontal="left" vertical="top" wrapText="1"/>
    </xf>
    <xf numFmtId="187" fontId="12" fillId="0" borderId="0" xfId="1" applyNumberFormat="1" applyFont="1" applyFill="1" applyAlignment="1">
      <alignment horizontal="center" vertical="top" wrapText="1"/>
    </xf>
    <xf numFmtId="43" fontId="12" fillId="0" borderId="0" xfId="1" applyFont="1" applyFill="1" applyBorder="1" applyAlignment="1">
      <alignment horizontal="left" vertical="top" wrapText="1"/>
    </xf>
    <xf numFmtId="43" fontId="12" fillId="0" borderId="0" xfId="1" applyFont="1" applyFill="1" applyAlignment="1">
      <alignment horizontal="left" vertical="top" wrapText="1"/>
    </xf>
    <xf numFmtId="49" fontId="12" fillId="0" borderId="0" xfId="3" applyNumberFormat="1" applyFont="1" applyAlignment="1">
      <alignment horizontal="center" vertical="top" wrapText="1"/>
    </xf>
    <xf numFmtId="0" fontId="13" fillId="0" borderId="0" xfId="3" applyFont="1" applyAlignment="1">
      <alignment horizontal="center" vertical="top" wrapText="1"/>
    </xf>
    <xf numFmtId="0" fontId="13" fillId="0" borderId="0" xfId="3" applyFont="1" applyAlignment="1">
      <alignment horizontal="left" vertical="top" wrapText="1"/>
    </xf>
    <xf numFmtId="187" fontId="13" fillId="0" borderId="0" xfId="1" applyNumberFormat="1" applyFont="1" applyFill="1" applyAlignment="1">
      <alignment horizontal="center" vertical="top" wrapText="1"/>
    </xf>
    <xf numFmtId="43" fontId="13" fillId="0" borderId="0" xfId="1" applyFont="1" applyFill="1" applyBorder="1" applyAlignment="1">
      <alignment horizontal="left" vertical="top" wrapText="1"/>
    </xf>
    <xf numFmtId="43" fontId="13" fillId="0" borderId="0" xfId="1" applyFont="1" applyFill="1" applyAlignment="1">
      <alignment horizontal="left" vertical="top" wrapText="1"/>
    </xf>
    <xf numFmtId="49" fontId="13" fillId="0" borderId="0" xfId="3" applyNumberFormat="1" applyFont="1" applyAlignment="1">
      <alignment horizontal="center" vertical="top" wrapText="1"/>
    </xf>
    <xf numFmtId="0" fontId="16" fillId="0" borderId="0" xfId="3" applyFont="1" applyAlignment="1">
      <alignment horizontal="center" vertical="top" wrapText="1"/>
    </xf>
    <xf numFmtId="0" fontId="13" fillId="0" borderId="0" xfId="3" applyFont="1" applyAlignment="1">
      <alignment horizontal="center" vertical="top"/>
    </xf>
    <xf numFmtId="0" fontId="16" fillId="0" borderId="9" xfId="3" applyFont="1" applyBorder="1" applyAlignment="1">
      <alignment horizontal="center" vertical="top" wrapText="1"/>
    </xf>
    <xf numFmtId="0" fontId="16" fillId="0" borderId="1" xfId="3" applyFont="1" applyBorder="1" applyAlignment="1">
      <alignment horizontal="center" vertical="top" wrapText="1"/>
    </xf>
    <xf numFmtId="187" fontId="16" fillId="0" borderId="1" xfId="1" applyNumberFormat="1" applyFont="1" applyFill="1" applyBorder="1" applyAlignment="1">
      <alignment horizontal="center" vertical="top" wrapText="1"/>
    </xf>
    <xf numFmtId="43" fontId="16" fillId="0" borderId="1" xfId="1" applyFont="1" applyFill="1" applyBorder="1" applyAlignment="1">
      <alignment horizontal="center" vertical="top" wrapText="1"/>
    </xf>
    <xf numFmtId="49" fontId="16" fillId="0" borderId="1" xfId="3" applyNumberFormat="1" applyFont="1" applyBorder="1" applyAlignment="1">
      <alignment horizontal="center" vertical="top" wrapText="1"/>
    </xf>
    <xf numFmtId="0" fontId="17" fillId="0" borderId="1" xfId="3" applyFont="1" applyBorder="1" applyAlignment="1">
      <alignment horizontal="center" vertical="top" wrapText="1"/>
    </xf>
    <xf numFmtId="0" fontId="13" fillId="0" borderId="1" xfId="3" applyFont="1" applyBorder="1" applyAlignment="1" applyProtection="1">
      <alignment horizontal="left" vertical="top" wrapText="1" readingOrder="1"/>
      <protection locked="0"/>
    </xf>
    <xf numFmtId="187" fontId="13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14" fontId="15" fillId="0" borderId="1" xfId="3" applyNumberFormat="1" applyFont="1" applyBorder="1" applyAlignment="1">
      <alignment horizontal="center" vertical="top" wrapText="1"/>
    </xf>
    <xf numFmtId="0" fontId="14" fillId="0" borderId="1" xfId="0" applyFont="1" applyBorder="1" applyAlignment="1" applyProtection="1">
      <alignment vertical="top" wrapText="1" readingOrder="1"/>
      <protection locked="0"/>
    </xf>
    <xf numFmtId="187" fontId="1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43" fontId="14" fillId="0" borderId="1" xfId="1" applyFont="1" applyFill="1" applyBorder="1" applyAlignment="1" applyProtection="1">
      <alignment horizontal="right" vertical="top" wrapText="1" readingOrder="1"/>
      <protection locked="0"/>
    </xf>
    <xf numFmtId="187" fontId="13" fillId="0" borderId="1" xfId="1" applyNumberFormat="1" applyFont="1" applyFill="1" applyBorder="1" applyAlignment="1">
      <alignment horizontal="right" vertical="top" wrapText="1"/>
    </xf>
    <xf numFmtId="43" fontId="13" fillId="0" borderId="1" xfId="1" applyFont="1" applyFill="1" applyBorder="1" applyAlignment="1">
      <alignment horizontal="right" vertical="top" wrapText="1"/>
    </xf>
    <xf numFmtId="187" fontId="13" fillId="0" borderId="1" xfId="1" applyNumberFormat="1" applyFont="1" applyFill="1" applyBorder="1" applyAlignment="1">
      <alignment horizontal="center" vertical="top" wrapText="1"/>
    </xf>
    <xf numFmtId="0" fontId="11" fillId="0" borderId="9" xfId="3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3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187" fontId="0" fillId="0" borderId="3" xfId="1" applyNumberFormat="1" applyFont="1" applyBorder="1"/>
    <xf numFmtId="3" fontId="19" fillId="0" borderId="3" xfId="0" applyNumberFormat="1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187" fontId="0" fillId="0" borderId="2" xfId="1" applyNumberFormat="1" applyFont="1" applyBorder="1"/>
    <xf numFmtId="3" fontId="19" fillId="0" borderId="2" xfId="0" applyNumberFormat="1" applyFont="1" applyBorder="1"/>
    <xf numFmtId="0" fontId="0" fillId="0" borderId="0" xfId="0" applyAlignment="1">
      <alignment horizontal="center"/>
    </xf>
    <xf numFmtId="187" fontId="0" fillId="0" borderId="0" xfId="1" applyNumberFormat="1" applyFont="1" applyBorder="1"/>
    <xf numFmtId="3" fontId="19" fillId="0" borderId="0" xfId="0" applyNumberFormat="1" applyFont="1"/>
    <xf numFmtId="0" fontId="8" fillId="0" borderId="0" xfId="0" applyFont="1" applyAlignment="1">
      <alignment wrapText="1"/>
    </xf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43" fontId="0" fillId="0" borderId="1" xfId="0" applyNumberFormat="1" applyBorder="1" applyAlignment="1">
      <alignment horizontal="center"/>
    </xf>
    <xf numFmtId="43" fontId="19" fillId="0" borderId="1" xfId="0" applyNumberFormat="1" applyFont="1" applyBorder="1" applyAlignment="1">
      <alignment horizontal="center"/>
    </xf>
    <xf numFmtId="43" fontId="19" fillId="0" borderId="3" xfId="0" applyNumberFormat="1" applyFont="1" applyBorder="1" applyAlignment="1">
      <alignment horizontal="center"/>
    </xf>
    <xf numFmtId="43" fontId="19" fillId="0" borderId="2" xfId="0" applyNumberFormat="1" applyFont="1" applyBorder="1" applyAlignment="1">
      <alignment horizontal="center"/>
    </xf>
    <xf numFmtId="43" fontId="19" fillId="0" borderId="0" xfId="0" applyNumberFormat="1" applyFont="1" applyAlignment="1">
      <alignment horizontal="center"/>
    </xf>
    <xf numFmtId="3" fontId="0" fillId="0" borderId="3" xfId="0" applyNumberFormat="1" applyBorder="1"/>
    <xf numFmtId="43" fontId="0" fillId="0" borderId="6" xfId="0" applyNumberFormat="1" applyBorder="1" applyAlignment="1">
      <alignment horizontal="center"/>
    </xf>
    <xf numFmtId="43" fontId="0" fillId="0" borderId="12" xfId="0" applyNumberFormat="1" applyBorder="1" applyAlignment="1">
      <alignment horizontal="center"/>
    </xf>
    <xf numFmtId="0" fontId="0" fillId="0" borderId="14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20" fillId="0" borderId="0" xfId="0" applyFont="1"/>
    <xf numFmtId="0" fontId="20" fillId="0" borderId="3" xfId="0" applyFont="1" applyBorder="1"/>
    <xf numFmtId="0" fontId="20" fillId="0" borderId="4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187" fontId="20" fillId="0" borderId="1" xfId="1" applyNumberFormat="1" applyFont="1" applyBorder="1" applyAlignment="1">
      <alignment vertical="center"/>
    </xf>
    <xf numFmtId="187" fontId="20" fillId="0" borderId="1" xfId="1" applyNumberFormat="1" applyFont="1" applyBorder="1" applyAlignment="1">
      <alignment horizontal="center" vertical="center"/>
    </xf>
    <xf numFmtId="187" fontId="20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87" fontId="20" fillId="0" borderId="1" xfId="1" applyNumberFormat="1" applyFont="1" applyBorder="1"/>
    <xf numFmtId="43" fontId="20" fillId="0" borderId="1" xfId="1" applyFont="1" applyBorder="1" applyAlignment="1">
      <alignment vertical="center"/>
    </xf>
    <xf numFmtId="43" fontId="20" fillId="0" borderId="1" xfId="1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43" fontId="20" fillId="0" borderId="1" xfId="1" applyFont="1" applyBorder="1"/>
    <xf numFmtId="0" fontId="2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87" fontId="20" fillId="0" borderId="0" xfId="1" applyNumberFormat="1" applyFont="1" applyBorder="1"/>
    <xf numFmtId="3" fontId="4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vertical="center"/>
    </xf>
    <xf numFmtId="187" fontId="20" fillId="0" borderId="1" xfId="1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3" fontId="19" fillId="0" borderId="3" xfId="0" applyNumberFormat="1" applyFont="1" applyBorder="1" applyAlignment="1">
      <alignment vertical="center"/>
    </xf>
    <xf numFmtId="0" fontId="5" fillId="0" borderId="0" xfId="0" applyFont="1"/>
    <xf numFmtId="0" fontId="21" fillId="0" borderId="0" xfId="0" applyFont="1"/>
    <xf numFmtId="3" fontId="4" fillId="0" borderId="0" xfId="0" applyNumberFormat="1" applyFont="1" applyAlignment="1">
      <alignment horizontal="center" vertical="center" wrapText="1"/>
    </xf>
    <xf numFmtId="43" fontId="20" fillId="0" borderId="0" xfId="1" applyFont="1" applyBorder="1"/>
    <xf numFmtId="3" fontId="4" fillId="0" borderId="16" xfId="1" applyNumberFormat="1" applyFont="1" applyFill="1" applyBorder="1" applyAlignment="1">
      <alignment horizontal="right"/>
    </xf>
    <xf numFmtId="3" fontId="4" fillId="0" borderId="15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87" fontId="4" fillId="0" borderId="1" xfId="1" applyNumberFormat="1" applyFont="1" applyBorder="1" applyAlignment="1">
      <alignment vertical="center"/>
    </xf>
    <xf numFmtId="187" fontId="4" fillId="0" borderId="1" xfId="0" applyNumberFormat="1" applyFont="1" applyBorder="1" applyAlignment="1">
      <alignment horizontal="right" vertical="center"/>
    </xf>
    <xf numFmtId="43" fontId="4" fillId="0" borderId="0" xfId="1" applyFont="1"/>
    <xf numFmtId="2" fontId="4" fillId="0" borderId="1" xfId="0" applyNumberFormat="1" applyFont="1" applyBorder="1" applyAlignment="1">
      <alignment horizontal="right" vertical="center"/>
    </xf>
    <xf numFmtId="189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1" xfId="1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horizontal="center" vertical="center"/>
    </xf>
    <xf numFmtId="187" fontId="10" fillId="0" borderId="1" xfId="1" applyNumberFormat="1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187" fontId="23" fillId="0" borderId="1" xfId="1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187" fontId="23" fillId="0" borderId="1" xfId="1" applyNumberFormat="1" applyFont="1" applyBorder="1" applyAlignment="1">
      <alignment horizontal="center" vertical="center"/>
    </xf>
    <xf numFmtId="2" fontId="10" fillId="0" borderId="1" xfId="0" applyNumberFormat="1" applyFont="1" applyBorder="1"/>
    <xf numFmtId="187" fontId="23" fillId="0" borderId="1" xfId="1" applyNumberFormat="1" applyFont="1" applyBorder="1"/>
    <xf numFmtId="1" fontId="10" fillId="0" borderId="1" xfId="0" applyNumberFormat="1" applyFont="1" applyBorder="1"/>
    <xf numFmtId="37" fontId="6" fillId="0" borderId="1" xfId="0" applyNumberFormat="1" applyFont="1" applyBorder="1" applyAlignment="1">
      <alignment horizontal="center" vertical="top"/>
    </xf>
    <xf numFmtId="43" fontId="8" fillId="0" borderId="15" xfId="1" applyFont="1" applyBorder="1" applyAlignment="1">
      <alignment horizontal="center" vertical="center" wrapText="1"/>
    </xf>
    <xf numFmtId="43" fontId="8" fillId="0" borderId="17" xfId="1" applyFont="1" applyBorder="1" applyAlignment="1">
      <alignment horizontal="center" vertical="center" wrapText="1"/>
    </xf>
    <xf numFmtId="43" fontId="4" fillId="0" borderId="18" xfId="1" applyFont="1" applyBorder="1" applyAlignment="1">
      <alignment vertical="center"/>
    </xf>
    <xf numFmtId="43" fontId="4" fillId="0" borderId="19" xfId="1" applyFont="1" applyBorder="1" applyAlignment="1">
      <alignment vertical="center"/>
    </xf>
    <xf numFmtId="43" fontId="4" fillId="0" borderId="19" xfId="1" applyFont="1" applyBorder="1" applyAlignment="1">
      <alignment horizontal="right" vertical="center"/>
    </xf>
    <xf numFmtId="43" fontId="4" fillId="0" borderId="18" xfId="1" applyFont="1" applyBorder="1" applyAlignment="1">
      <alignment vertical="center" wrapText="1"/>
    </xf>
    <xf numFmtId="43" fontId="8" fillId="0" borderId="19" xfId="1" applyFont="1" applyBorder="1" applyAlignment="1">
      <alignment vertical="center"/>
    </xf>
    <xf numFmtId="43" fontId="8" fillId="0" borderId="19" xfId="1" applyFont="1" applyBorder="1" applyAlignment="1">
      <alignment horizontal="right" vertical="center"/>
    </xf>
    <xf numFmtId="43" fontId="20" fillId="0" borderId="19" xfId="1" applyFont="1" applyBorder="1" applyAlignment="1">
      <alignment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16" fillId="0" borderId="0" xfId="3" applyFont="1" applyAlignment="1">
      <alignment horizontal="center" vertical="top" wrapText="1"/>
    </xf>
    <xf numFmtId="0" fontId="11" fillId="0" borderId="0" xfId="3" applyFont="1" applyAlignment="1">
      <alignment horizontal="center" vertical="top" wrapText="1"/>
    </xf>
    <xf numFmtId="0" fontId="8" fillId="0" borderId="0" xfId="3" applyFont="1" applyAlignment="1">
      <alignment horizontal="center" vertical="top" wrapText="1"/>
    </xf>
    <xf numFmtId="0" fontId="4" fillId="0" borderId="1" xfId="3" applyFont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zoomScale="130" zoomScaleNormal="130" workbookViewId="0">
      <selection activeCell="G12" sqref="G12"/>
    </sheetView>
  </sheetViews>
  <sheetFormatPr defaultRowHeight="20.25" x14ac:dyDescent="0.3"/>
  <cols>
    <col min="1" max="1" width="13.88671875" customWidth="1"/>
    <col min="2" max="2" width="17.109375" customWidth="1"/>
    <col min="3" max="3" width="12.77734375" customWidth="1"/>
    <col min="4" max="4" width="10.44140625" customWidth="1"/>
    <col min="5" max="5" width="13.21875" customWidth="1"/>
  </cols>
  <sheetData>
    <row r="2" spans="1:5" x14ac:dyDescent="0.3">
      <c r="A2" s="329" t="s">
        <v>363</v>
      </c>
      <c r="B2" s="329"/>
      <c r="C2" s="329"/>
      <c r="D2" s="329"/>
      <c r="E2" s="329"/>
    </row>
    <row r="3" spans="1:5" x14ac:dyDescent="0.3">
      <c r="A3" t="s">
        <v>339</v>
      </c>
    </row>
    <row r="4" spans="1:5" x14ac:dyDescent="0.3">
      <c r="A4" t="s">
        <v>340</v>
      </c>
    </row>
    <row r="6" spans="1:5" x14ac:dyDescent="0.3">
      <c r="A6" t="s">
        <v>341</v>
      </c>
    </row>
    <row r="7" spans="1:5" x14ac:dyDescent="0.3">
      <c r="A7" s="337" t="s">
        <v>328</v>
      </c>
      <c r="B7" s="337" t="s">
        <v>342</v>
      </c>
      <c r="C7" s="263" t="s">
        <v>3</v>
      </c>
      <c r="D7" s="335" t="s">
        <v>343</v>
      </c>
      <c r="E7" s="336"/>
    </row>
    <row r="8" spans="1:5" x14ac:dyDescent="0.3">
      <c r="A8" s="338"/>
      <c r="B8" s="338"/>
      <c r="C8" s="121"/>
      <c r="D8" s="71" t="s">
        <v>72</v>
      </c>
      <c r="E8" s="71" t="s">
        <v>344</v>
      </c>
    </row>
    <row r="9" spans="1:5" ht="42" customHeight="1" x14ac:dyDescent="0.3">
      <c r="A9" s="333" t="s">
        <v>345</v>
      </c>
      <c r="B9" s="29" t="s">
        <v>346</v>
      </c>
      <c r="C9" s="29" t="s">
        <v>16</v>
      </c>
      <c r="D9" s="29">
        <v>14</v>
      </c>
      <c r="E9" s="68">
        <v>4638000</v>
      </c>
    </row>
    <row r="10" spans="1:5" ht="38.450000000000003" customHeight="1" x14ac:dyDescent="0.3">
      <c r="A10" s="334"/>
      <c r="B10" s="29" t="s">
        <v>347</v>
      </c>
      <c r="C10" s="29" t="s">
        <v>16</v>
      </c>
      <c r="D10" s="29">
        <v>1</v>
      </c>
      <c r="E10" s="68">
        <v>795881</v>
      </c>
    </row>
    <row r="11" spans="1:5" ht="57" customHeight="1" x14ac:dyDescent="0.3">
      <c r="A11" s="339" t="s">
        <v>348</v>
      </c>
      <c r="B11" s="146" t="s">
        <v>349</v>
      </c>
      <c r="C11" s="66" t="s">
        <v>28</v>
      </c>
      <c r="D11" s="66">
        <v>1</v>
      </c>
      <c r="E11" s="66">
        <v>40000</v>
      </c>
    </row>
    <row r="12" spans="1:5" x14ac:dyDescent="0.3">
      <c r="A12" s="340"/>
      <c r="B12" s="146" t="s">
        <v>364</v>
      </c>
      <c r="C12" s="66" t="s">
        <v>8</v>
      </c>
      <c r="D12" s="66">
        <v>2</v>
      </c>
      <c r="E12" s="65">
        <v>316000</v>
      </c>
    </row>
    <row r="13" spans="1:5" ht="42" customHeight="1" x14ac:dyDescent="0.3">
      <c r="A13" s="330" t="s">
        <v>350</v>
      </c>
      <c r="B13" s="66" t="s">
        <v>351</v>
      </c>
      <c r="C13" s="66" t="s">
        <v>15</v>
      </c>
      <c r="D13" s="66">
        <v>4</v>
      </c>
      <c r="E13" s="65">
        <v>5511302</v>
      </c>
    </row>
    <row r="14" spans="1:5" ht="40.5" x14ac:dyDescent="0.3">
      <c r="A14" s="332"/>
      <c r="B14" s="146" t="s">
        <v>352</v>
      </c>
      <c r="C14" s="66" t="s">
        <v>15</v>
      </c>
      <c r="D14" s="66">
        <v>5</v>
      </c>
      <c r="E14" s="65">
        <v>489000</v>
      </c>
    </row>
    <row r="15" spans="1:5" ht="40.5" x14ac:dyDescent="0.3">
      <c r="A15" s="70" t="s">
        <v>353</v>
      </c>
      <c r="B15" s="66" t="s">
        <v>354</v>
      </c>
      <c r="C15" s="66" t="s">
        <v>355</v>
      </c>
      <c r="D15" s="66">
        <v>4</v>
      </c>
      <c r="E15" s="65">
        <v>1420000</v>
      </c>
    </row>
    <row r="16" spans="1:5" ht="63" customHeight="1" x14ac:dyDescent="0.3">
      <c r="A16" s="330" t="s">
        <v>356</v>
      </c>
      <c r="B16" s="66" t="s">
        <v>364</v>
      </c>
      <c r="C16" s="66" t="s">
        <v>355</v>
      </c>
      <c r="D16" s="66">
        <v>2</v>
      </c>
      <c r="E16" s="65">
        <v>101860</v>
      </c>
    </row>
    <row r="17" spans="1:5" x14ac:dyDescent="0.3">
      <c r="A17" s="332"/>
      <c r="B17" s="66" t="s">
        <v>365</v>
      </c>
      <c r="C17" s="66" t="s">
        <v>8</v>
      </c>
      <c r="D17" s="66">
        <v>2</v>
      </c>
      <c r="E17" s="65">
        <v>90000</v>
      </c>
    </row>
    <row r="18" spans="1:5" ht="40.5" x14ac:dyDescent="0.3">
      <c r="A18" s="146" t="s">
        <v>357</v>
      </c>
      <c r="B18" s="66" t="s">
        <v>358</v>
      </c>
      <c r="C18" s="66" t="s">
        <v>355</v>
      </c>
      <c r="D18" s="66"/>
      <c r="E18" s="66"/>
    </row>
    <row r="19" spans="1:5" ht="42" customHeight="1" x14ac:dyDescent="0.3">
      <c r="A19" s="330" t="s">
        <v>359</v>
      </c>
      <c r="B19" s="66" t="s">
        <v>360</v>
      </c>
      <c r="C19" s="66" t="s">
        <v>355</v>
      </c>
      <c r="D19" s="66">
        <v>10</v>
      </c>
      <c r="E19" s="65">
        <f>533039+117000</f>
        <v>650039</v>
      </c>
    </row>
    <row r="20" spans="1:5" x14ac:dyDescent="0.3">
      <c r="A20" s="331"/>
      <c r="B20" s="66" t="s">
        <v>361</v>
      </c>
      <c r="C20" s="66" t="s">
        <v>67</v>
      </c>
      <c r="D20" s="66">
        <v>1</v>
      </c>
      <c r="E20" s="65">
        <v>10000</v>
      </c>
    </row>
    <row r="21" spans="1:5" ht="40.5" x14ac:dyDescent="0.3">
      <c r="A21" s="332"/>
      <c r="B21" s="146" t="s">
        <v>362</v>
      </c>
      <c r="C21" s="66" t="s">
        <v>355</v>
      </c>
      <c r="D21" s="66">
        <v>2</v>
      </c>
      <c r="E21" s="65">
        <v>209950</v>
      </c>
    </row>
    <row r="22" spans="1:5" x14ac:dyDescent="0.3">
      <c r="A22" s="29"/>
      <c r="B22" s="29"/>
      <c r="C22" s="29" t="s">
        <v>82</v>
      </c>
      <c r="D22" s="29">
        <f>SUM(D9:D21)</f>
        <v>48</v>
      </c>
      <c r="E22" s="68">
        <f>SUM(E9:E21)</f>
        <v>14272032</v>
      </c>
    </row>
  </sheetData>
  <mergeCells count="9">
    <mergeCell ref="A2:E2"/>
    <mergeCell ref="A19:A21"/>
    <mergeCell ref="A9:A10"/>
    <mergeCell ref="A16:A17"/>
    <mergeCell ref="D7:E7"/>
    <mergeCell ref="B7:B8"/>
    <mergeCell ref="A7:A8"/>
    <mergeCell ref="A13:A14"/>
    <mergeCell ref="A11:A12"/>
  </mergeCells>
  <pageMargins left="0.70866141732283472" right="0.70866141732283472" top="0.74803149606299213" bottom="0.74803149606299213" header="0.31496062992125984" footer="0.31496062992125984"/>
  <pageSetup paperSize="9" firstPageNumber="18" orientation="portrait" useFirstPageNumber="1" r:id="rId1"/>
  <headerFooter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tabSelected="1" view="pageBreakPreview" zoomScale="130" zoomScaleNormal="100" zoomScaleSheetLayoutView="130" workbookViewId="0">
      <selection activeCell="A2" sqref="A2:J2"/>
    </sheetView>
  </sheetViews>
  <sheetFormatPr defaultColWidth="8.88671875" defaultRowHeight="20.25" x14ac:dyDescent="0.3"/>
  <cols>
    <col min="1" max="1" width="4.6640625" customWidth="1"/>
    <col min="2" max="2" width="20" customWidth="1"/>
    <col min="3" max="3" width="12" style="25" customWidth="1"/>
    <col min="4" max="6" width="11.6640625" customWidth="1"/>
    <col min="7" max="7" width="12.6640625" customWidth="1"/>
    <col min="8" max="8" width="11.6640625" customWidth="1"/>
    <col min="9" max="9" width="9.5546875" customWidth="1"/>
    <col min="10" max="10" width="11.33203125" customWidth="1"/>
  </cols>
  <sheetData>
    <row r="1" spans="1:10" ht="23.25" x14ac:dyDescent="0.35">
      <c r="A1" s="375" t="s">
        <v>65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x14ac:dyDescent="0.3">
      <c r="A2" s="376" t="s">
        <v>397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x14ac:dyDescent="0.3">
      <c r="A3" s="18" t="s">
        <v>29</v>
      </c>
      <c r="B3" s="3"/>
      <c r="C3" s="20"/>
      <c r="D3" s="3"/>
      <c r="E3" s="3"/>
      <c r="F3" s="3"/>
      <c r="G3" s="3"/>
      <c r="H3" s="3"/>
      <c r="I3" s="3"/>
      <c r="J3" s="3"/>
    </row>
    <row r="4" spans="1:10" x14ac:dyDescent="0.3">
      <c r="A4" s="374" t="s">
        <v>33</v>
      </c>
      <c r="B4" s="374"/>
      <c r="C4" s="374"/>
      <c r="D4" s="3"/>
      <c r="E4" s="3"/>
      <c r="F4" s="3"/>
      <c r="G4" s="3"/>
      <c r="H4" s="3"/>
      <c r="I4" s="3"/>
      <c r="J4" s="3"/>
    </row>
    <row r="5" spans="1:10" ht="13.5" customHeight="1" x14ac:dyDescent="0.3">
      <c r="A5" s="8"/>
      <c r="B5" s="3"/>
      <c r="C5" s="20"/>
      <c r="D5" s="3"/>
      <c r="E5" s="3"/>
      <c r="F5" s="3"/>
      <c r="G5" s="3"/>
      <c r="H5" s="3"/>
      <c r="I5" s="3"/>
      <c r="J5" s="3"/>
    </row>
    <row r="6" spans="1:10" ht="60.75" x14ac:dyDescent="0.3">
      <c r="A6" s="4" t="s">
        <v>1</v>
      </c>
      <c r="B6" s="5" t="s">
        <v>2</v>
      </c>
      <c r="C6" s="21" t="s">
        <v>68</v>
      </c>
      <c r="D6" s="1" t="s">
        <v>10</v>
      </c>
      <c r="E6" s="6" t="s">
        <v>12</v>
      </c>
      <c r="F6" s="6" t="s">
        <v>11</v>
      </c>
      <c r="G6" s="6" t="s">
        <v>13</v>
      </c>
      <c r="H6" s="5" t="s">
        <v>64</v>
      </c>
      <c r="I6" s="5" t="s">
        <v>3</v>
      </c>
      <c r="J6" s="4" t="s">
        <v>4</v>
      </c>
    </row>
    <row r="7" spans="1:10" ht="63.75" customHeight="1" x14ac:dyDescent="0.3">
      <c r="A7" s="2">
        <v>1</v>
      </c>
      <c r="B7" s="42" t="s">
        <v>30</v>
      </c>
      <c r="C7" s="36">
        <v>1004850</v>
      </c>
      <c r="D7" s="14">
        <v>103290</v>
      </c>
      <c r="E7" s="13"/>
      <c r="F7" s="14"/>
      <c r="G7" s="14">
        <v>1106253</v>
      </c>
      <c r="H7" s="14">
        <v>1887</v>
      </c>
      <c r="I7" s="34" t="s">
        <v>15</v>
      </c>
      <c r="J7" s="2"/>
    </row>
    <row r="8" spans="1:10" ht="25.9" customHeight="1" x14ac:dyDescent="0.3">
      <c r="A8" s="104">
        <v>2</v>
      </c>
      <c r="B8" s="105" t="s">
        <v>227</v>
      </c>
      <c r="C8" s="106">
        <v>1600052</v>
      </c>
      <c r="D8" s="125">
        <v>7664.6</v>
      </c>
      <c r="E8" s="107"/>
      <c r="F8" s="125">
        <v>335900.15999999997</v>
      </c>
      <c r="G8" s="125">
        <v>1198408.76</v>
      </c>
      <c r="H8" s="125">
        <f>107607.68+F8</f>
        <v>443507.83999999997</v>
      </c>
      <c r="I8" s="108"/>
      <c r="J8" s="104"/>
    </row>
    <row r="9" spans="1:10" ht="25.9" customHeight="1" x14ac:dyDescent="0.3">
      <c r="A9" s="109"/>
      <c r="B9" s="110" t="s">
        <v>230</v>
      </c>
      <c r="C9" s="111"/>
      <c r="D9" s="112"/>
      <c r="E9" s="113"/>
      <c r="F9" s="112"/>
      <c r="G9" s="112"/>
      <c r="H9" s="112"/>
      <c r="I9" s="72"/>
      <c r="J9" s="109"/>
    </row>
    <row r="10" spans="1:10" ht="61.5" customHeight="1" x14ac:dyDescent="0.3">
      <c r="A10" s="114"/>
      <c r="B10" s="110" t="s">
        <v>228</v>
      </c>
      <c r="C10" s="111"/>
      <c r="D10" s="115"/>
      <c r="E10" s="115"/>
      <c r="F10" s="115"/>
      <c r="G10" s="116"/>
      <c r="H10" s="117"/>
      <c r="I10" s="72"/>
      <c r="J10" s="115"/>
    </row>
    <row r="11" spans="1:10" ht="67.150000000000006" customHeight="1" x14ac:dyDescent="0.3">
      <c r="A11" s="118"/>
      <c r="B11" s="119" t="s">
        <v>229</v>
      </c>
      <c r="C11" s="120"/>
      <c r="D11" s="121"/>
      <c r="E11" s="121"/>
      <c r="F11" s="121"/>
      <c r="G11" s="122"/>
      <c r="H11" s="123"/>
      <c r="I11" s="124"/>
      <c r="J11" s="121"/>
    </row>
    <row r="12" spans="1:10" ht="117" customHeight="1" x14ac:dyDescent="0.3">
      <c r="A12" s="41">
        <v>4</v>
      </c>
      <c r="B12" s="42" t="s">
        <v>31</v>
      </c>
      <c r="C12" s="36">
        <v>2906400</v>
      </c>
      <c r="D12" s="65">
        <v>142400</v>
      </c>
      <c r="E12" s="29"/>
      <c r="F12" s="29"/>
      <c r="G12" s="66">
        <v>3046241</v>
      </c>
      <c r="H12" s="67">
        <f>(C12+D12)-G12</f>
        <v>2559</v>
      </c>
      <c r="I12" s="34" t="s">
        <v>15</v>
      </c>
      <c r="J12" s="29"/>
    </row>
    <row r="13" spans="1:10" ht="21.75" customHeight="1" x14ac:dyDescent="0.3">
      <c r="A13" s="29"/>
      <c r="B13" s="76" t="s">
        <v>82</v>
      </c>
      <c r="C13" s="68">
        <f>SUM(C7:C12)</f>
        <v>5511302</v>
      </c>
      <c r="D13" s="68">
        <f>SUM(D7:D12)</f>
        <v>253354.6</v>
      </c>
      <c r="E13" s="29"/>
      <c r="F13" s="29"/>
      <c r="G13" s="68">
        <f>SUM(G7:G12)</f>
        <v>5350902.76</v>
      </c>
      <c r="H13" s="68">
        <f>SUM(H7:H12)</f>
        <v>447953.83999999997</v>
      </c>
      <c r="I13" s="29"/>
      <c r="J13" s="29"/>
    </row>
    <row r="14" spans="1:10" ht="26.25" customHeight="1" x14ac:dyDescent="0.3"/>
    <row r="15" spans="1:10" ht="26.25" customHeight="1" x14ac:dyDescent="0.3"/>
  </sheetData>
  <mergeCells count="3">
    <mergeCell ref="A1:J1"/>
    <mergeCell ref="A2:J2"/>
    <mergeCell ref="A4:C4"/>
  </mergeCells>
  <pageMargins left="0.19685039370078741" right="0.19685039370078741" top="0.74803149606299213" bottom="0.74803149606299213" header="0.31496062992125984" footer="0.31496062992125984"/>
  <pageSetup paperSize="9" scale="95" firstPageNumber="36" orientation="landscape" useFirstPageNumber="1" r:id="rId1"/>
  <headerFooter>
    <oddHeader>&amp;R&amp;P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view="pageBreakPreview" topLeftCell="A13" zoomScale="130" zoomScaleNormal="100" zoomScaleSheetLayoutView="130" workbookViewId="0">
      <selection activeCell="A2" sqref="A2:J2"/>
    </sheetView>
  </sheetViews>
  <sheetFormatPr defaultColWidth="8.88671875" defaultRowHeight="20.25" x14ac:dyDescent="0.3"/>
  <cols>
    <col min="1" max="1" width="4.6640625" customWidth="1"/>
    <col min="2" max="2" width="20" customWidth="1"/>
    <col min="3" max="3" width="12" style="25" customWidth="1"/>
    <col min="4" max="8" width="11.44140625" customWidth="1"/>
    <col min="9" max="9" width="10.88671875" customWidth="1"/>
    <col min="10" max="10" width="11.33203125" customWidth="1"/>
  </cols>
  <sheetData>
    <row r="1" spans="1:10" ht="23.25" x14ac:dyDescent="0.35">
      <c r="A1" s="375" t="s">
        <v>65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x14ac:dyDescent="0.3">
      <c r="A2" s="376" t="s">
        <v>397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x14ac:dyDescent="0.3">
      <c r="A3" s="18" t="s">
        <v>29</v>
      </c>
      <c r="B3" s="3"/>
      <c r="C3" s="20"/>
      <c r="D3" s="3"/>
      <c r="E3" s="3"/>
      <c r="F3" s="3"/>
      <c r="G3" s="3"/>
      <c r="H3" s="3"/>
      <c r="I3" s="3"/>
      <c r="J3" s="3"/>
    </row>
    <row r="4" spans="1:10" x14ac:dyDescent="0.3">
      <c r="A4" s="374" t="s">
        <v>32</v>
      </c>
      <c r="B4" s="374"/>
      <c r="C4" s="374"/>
      <c r="D4" s="374"/>
      <c r="E4" s="374"/>
      <c r="F4" s="3"/>
      <c r="G4" s="3"/>
      <c r="H4" s="3"/>
      <c r="I4" s="3"/>
      <c r="J4" s="3"/>
    </row>
    <row r="5" spans="1:10" ht="13.5" customHeight="1" x14ac:dyDescent="0.3">
      <c r="A5" s="8"/>
      <c r="B5" s="3"/>
      <c r="C5" s="20"/>
      <c r="D5" s="3"/>
      <c r="E5" s="3"/>
      <c r="F5" s="3"/>
      <c r="G5" s="3"/>
      <c r="H5" s="3"/>
      <c r="I5" s="3"/>
      <c r="J5" s="3"/>
    </row>
    <row r="6" spans="1:10" ht="60.75" x14ac:dyDescent="0.3">
      <c r="A6" s="4" t="s">
        <v>1</v>
      </c>
      <c r="B6" s="5" t="s">
        <v>2</v>
      </c>
      <c r="C6" s="21" t="s">
        <v>68</v>
      </c>
      <c r="D6" s="1" t="s">
        <v>10</v>
      </c>
      <c r="E6" s="6" t="s">
        <v>12</v>
      </c>
      <c r="F6" s="1" t="s">
        <v>11</v>
      </c>
      <c r="G6" s="6" t="s">
        <v>13</v>
      </c>
      <c r="H6" s="5" t="s">
        <v>14</v>
      </c>
      <c r="I6" s="5" t="s">
        <v>3</v>
      </c>
      <c r="J6" s="4" t="s">
        <v>4</v>
      </c>
    </row>
    <row r="7" spans="1:10" ht="52.9" customHeight="1" x14ac:dyDescent="0.3">
      <c r="A7" s="2">
        <v>1</v>
      </c>
      <c r="B7" s="43" t="s">
        <v>34</v>
      </c>
      <c r="C7" s="44">
        <v>329000</v>
      </c>
      <c r="D7" s="13"/>
      <c r="E7" s="13">
        <v>54000</v>
      </c>
      <c r="F7" s="14"/>
      <c r="G7" s="14">
        <v>274009</v>
      </c>
      <c r="H7" s="69">
        <f>C7-F7-G7-E7</f>
        <v>991</v>
      </c>
      <c r="I7" s="34" t="s">
        <v>15</v>
      </c>
      <c r="J7" s="2"/>
    </row>
    <row r="8" spans="1:10" ht="45" customHeight="1" x14ac:dyDescent="0.3">
      <c r="A8" s="41">
        <v>2</v>
      </c>
      <c r="B8" s="43" t="s">
        <v>35</v>
      </c>
      <c r="C8" s="44">
        <v>100000</v>
      </c>
      <c r="D8" s="29"/>
      <c r="E8" s="66">
        <v>6000</v>
      </c>
      <c r="F8" s="29"/>
      <c r="G8" s="65">
        <v>93895</v>
      </c>
      <c r="H8" s="67">
        <f>C8-E8-G8</f>
        <v>105</v>
      </c>
      <c r="I8" s="34" t="s">
        <v>15</v>
      </c>
      <c r="J8" s="29"/>
    </row>
    <row r="9" spans="1:10" ht="69" customHeight="1" x14ac:dyDescent="0.3">
      <c r="A9" s="2">
        <v>3</v>
      </c>
      <c r="B9" s="45" t="s">
        <v>36</v>
      </c>
      <c r="C9" s="36">
        <v>50000</v>
      </c>
      <c r="D9" s="66">
        <v>30000</v>
      </c>
      <c r="E9" s="66"/>
      <c r="F9" s="66"/>
      <c r="G9" s="66">
        <v>79940</v>
      </c>
      <c r="H9" s="65">
        <v>60</v>
      </c>
      <c r="I9" s="34" t="s">
        <v>15</v>
      </c>
      <c r="J9" s="29"/>
    </row>
    <row r="10" spans="1:10" ht="57" customHeight="1" x14ac:dyDescent="0.3">
      <c r="A10" s="2">
        <v>4</v>
      </c>
      <c r="B10" s="45" t="s">
        <v>231</v>
      </c>
      <c r="C10" s="36">
        <v>10000</v>
      </c>
      <c r="D10" s="66"/>
      <c r="E10" s="66"/>
      <c r="F10" s="66"/>
      <c r="G10" s="65">
        <v>10000</v>
      </c>
      <c r="H10" s="65">
        <v>0</v>
      </c>
      <c r="I10" s="34" t="s">
        <v>15</v>
      </c>
      <c r="J10" s="29"/>
    </row>
    <row r="11" spans="1:10" ht="67.900000000000006" customHeight="1" x14ac:dyDescent="0.3">
      <c r="A11" s="2">
        <v>5</v>
      </c>
      <c r="B11" s="45" t="s">
        <v>232</v>
      </c>
      <c r="C11" s="36"/>
      <c r="D11" s="65">
        <v>40000</v>
      </c>
      <c r="E11" s="66"/>
      <c r="F11" s="66"/>
      <c r="G11" s="65">
        <v>40000</v>
      </c>
      <c r="H11" s="65">
        <v>0</v>
      </c>
      <c r="I11" s="34" t="s">
        <v>15</v>
      </c>
      <c r="J11" s="29"/>
    </row>
    <row r="12" spans="1:10" ht="26.25" customHeight="1" x14ac:dyDescent="0.3">
      <c r="A12" s="74"/>
      <c r="B12" s="77" t="s">
        <v>82</v>
      </c>
      <c r="C12" s="75">
        <f>SUM(C7:C10)</f>
        <v>489000</v>
      </c>
      <c r="D12" s="74">
        <f>SUM(D7:D10)</f>
        <v>30000</v>
      </c>
      <c r="E12" s="74">
        <f>SUM(E7:E10)</f>
        <v>60000</v>
      </c>
      <c r="F12" s="75"/>
      <c r="G12" s="75">
        <f>SUM(G7:G10)</f>
        <v>457844</v>
      </c>
      <c r="H12" s="78">
        <f>SUM(H7:H10)</f>
        <v>1156</v>
      </c>
      <c r="I12" s="29"/>
      <c r="J12" s="29"/>
    </row>
    <row r="13" spans="1:10" ht="26.25" customHeight="1" x14ac:dyDescent="0.3"/>
    <row r="14" spans="1:10" ht="26.25" customHeight="1" x14ac:dyDescent="0.3"/>
  </sheetData>
  <mergeCells count="3">
    <mergeCell ref="A1:J1"/>
    <mergeCell ref="A2:J2"/>
    <mergeCell ref="A4:E4"/>
  </mergeCells>
  <pageMargins left="0.19685039370078741" right="0.19685039370078741" top="0.74803149606299213" bottom="0.74803149606299213" header="0.31496062992125984" footer="0.31496062992125984"/>
  <pageSetup paperSize="9" scale="97" firstPageNumber="37" orientation="landscape" useFirstPageNumber="1" r:id="rId1"/>
  <headerFooter>
    <oddHeader>&amp;R&amp;P</oddHeader>
    <oddFooter>&amp;R&amp;P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"/>
  <sheetViews>
    <sheetView view="pageBreakPreview" topLeftCell="A4" zoomScale="130" zoomScaleNormal="100" zoomScaleSheetLayoutView="130" workbookViewId="0">
      <selection activeCell="H10" sqref="H10"/>
    </sheetView>
  </sheetViews>
  <sheetFormatPr defaultColWidth="8.88671875" defaultRowHeight="20.25" x14ac:dyDescent="0.3"/>
  <cols>
    <col min="1" max="1" width="4.6640625" customWidth="1"/>
    <col min="2" max="2" width="22.109375" customWidth="1"/>
    <col min="3" max="3" width="12" style="25" customWidth="1"/>
    <col min="4" max="8" width="10.5546875" customWidth="1"/>
    <col min="9" max="9" width="10.109375" customWidth="1"/>
    <col min="10" max="10" width="11.33203125" customWidth="1"/>
  </cols>
  <sheetData>
    <row r="1" spans="1:10" ht="23.25" x14ac:dyDescent="0.35">
      <c r="A1" s="375" t="s">
        <v>65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x14ac:dyDescent="0.3">
      <c r="A2" s="376" t="s">
        <v>397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x14ac:dyDescent="0.3">
      <c r="A3" s="18" t="s">
        <v>37</v>
      </c>
      <c r="B3" s="3"/>
      <c r="C3" s="20"/>
      <c r="D3" s="3"/>
      <c r="E3" s="3"/>
      <c r="F3" s="3"/>
      <c r="G3" s="3"/>
      <c r="H3" s="3"/>
      <c r="I3" s="3"/>
      <c r="J3" s="3"/>
    </row>
    <row r="4" spans="1:10" x14ac:dyDescent="0.3">
      <c r="A4" s="374" t="s">
        <v>38</v>
      </c>
      <c r="B4" s="374"/>
      <c r="C4" s="374"/>
      <c r="D4" s="374"/>
      <c r="E4" s="374"/>
      <c r="F4" s="3"/>
      <c r="G4" s="3"/>
      <c r="H4" s="3"/>
      <c r="I4" s="3"/>
      <c r="J4" s="3"/>
    </row>
    <row r="5" spans="1:10" ht="13.5" customHeight="1" x14ac:dyDescent="0.3">
      <c r="A5" s="8"/>
      <c r="B5" s="3"/>
      <c r="C5" s="20"/>
      <c r="D5" s="3"/>
      <c r="E5" s="3"/>
      <c r="F5" s="3"/>
      <c r="G5" s="3"/>
      <c r="H5" s="3"/>
      <c r="I5" s="3"/>
      <c r="J5" s="3"/>
    </row>
    <row r="6" spans="1:10" ht="60.75" x14ac:dyDescent="0.3">
      <c r="A6" s="4" t="s">
        <v>1</v>
      </c>
      <c r="B6" s="5" t="s">
        <v>2</v>
      </c>
      <c r="C6" s="21" t="s">
        <v>68</v>
      </c>
      <c r="D6" s="1" t="s">
        <v>10</v>
      </c>
      <c r="E6" s="6" t="s">
        <v>12</v>
      </c>
      <c r="F6" s="1" t="s">
        <v>11</v>
      </c>
      <c r="G6" s="6" t="s">
        <v>13</v>
      </c>
      <c r="H6" s="5" t="s">
        <v>14</v>
      </c>
      <c r="I6" s="5" t="s">
        <v>3</v>
      </c>
      <c r="J6" s="4" t="s">
        <v>4</v>
      </c>
    </row>
    <row r="7" spans="1:10" ht="72.75" customHeight="1" x14ac:dyDescent="0.3">
      <c r="A7" s="2">
        <v>1</v>
      </c>
      <c r="B7" s="42" t="s">
        <v>9</v>
      </c>
      <c r="C7" s="46">
        <v>720000</v>
      </c>
      <c r="D7" s="13"/>
      <c r="E7" s="126">
        <v>80000</v>
      </c>
      <c r="F7" s="14">
        <v>58175</v>
      </c>
      <c r="G7" s="14">
        <v>571350</v>
      </c>
      <c r="H7" s="69">
        <f>C7-E7-G7-F7</f>
        <v>10475</v>
      </c>
      <c r="I7" s="34" t="s">
        <v>8</v>
      </c>
      <c r="J7" s="2"/>
    </row>
    <row r="8" spans="1:10" ht="73.5" customHeight="1" x14ac:dyDescent="0.3">
      <c r="A8" s="2">
        <v>2</v>
      </c>
      <c r="B8" s="42" t="s">
        <v>6</v>
      </c>
      <c r="C8" s="46">
        <v>200000</v>
      </c>
      <c r="D8" s="29"/>
      <c r="E8" s="29"/>
      <c r="F8" s="29"/>
      <c r="G8" s="66">
        <v>157054</v>
      </c>
      <c r="H8" s="65">
        <f>C8-G8</f>
        <v>42946</v>
      </c>
      <c r="I8" s="34" t="s">
        <v>8</v>
      </c>
      <c r="J8" s="29"/>
    </row>
    <row r="9" spans="1:10" ht="77.25" customHeight="1" x14ac:dyDescent="0.3">
      <c r="A9" s="41">
        <v>3</v>
      </c>
      <c r="B9" s="42" t="s">
        <v>40</v>
      </c>
      <c r="C9" s="46">
        <v>100000</v>
      </c>
      <c r="D9" s="29"/>
      <c r="E9" s="66">
        <v>99640</v>
      </c>
      <c r="F9" s="29"/>
      <c r="G9" s="67">
        <f>C9-E9</f>
        <v>360</v>
      </c>
      <c r="H9" s="65">
        <f>C9-E9-G9</f>
        <v>0</v>
      </c>
      <c r="I9" s="34" t="s">
        <v>8</v>
      </c>
      <c r="J9" s="29"/>
    </row>
    <row r="10" spans="1:10" ht="77.25" customHeight="1" x14ac:dyDescent="0.3">
      <c r="A10" s="41">
        <v>4</v>
      </c>
      <c r="B10" s="42" t="s">
        <v>236</v>
      </c>
      <c r="C10" s="46">
        <v>400000</v>
      </c>
      <c r="D10" s="29"/>
      <c r="E10" s="66"/>
      <c r="F10" s="29"/>
      <c r="G10" s="67">
        <v>399600</v>
      </c>
      <c r="H10" s="65">
        <v>400</v>
      </c>
      <c r="I10" s="34" t="s">
        <v>8</v>
      </c>
      <c r="J10" s="29"/>
    </row>
    <row r="11" spans="1:10" ht="26.25" customHeight="1" x14ac:dyDescent="0.3">
      <c r="A11" s="377" t="s">
        <v>82</v>
      </c>
      <c r="B11" s="378"/>
      <c r="C11" s="148">
        <f>SUM(C7:C10)</f>
        <v>1420000</v>
      </c>
      <c r="D11" s="121"/>
      <c r="E11" s="149">
        <f>SUM(E7:E9)</f>
        <v>179640</v>
      </c>
      <c r="F11" s="148">
        <f>SUM(F7:F9)</f>
        <v>58175</v>
      </c>
      <c r="G11" s="148">
        <f>SUM(G7:G9)</f>
        <v>728764</v>
      </c>
      <c r="H11" s="150">
        <f>SUM(H7:H9)</f>
        <v>53421</v>
      </c>
      <c r="I11" s="29"/>
      <c r="J11" s="29"/>
    </row>
  </sheetData>
  <mergeCells count="4">
    <mergeCell ref="A1:J1"/>
    <mergeCell ref="A2:J2"/>
    <mergeCell ref="A4:E4"/>
    <mergeCell ref="A11:B11"/>
  </mergeCells>
  <pageMargins left="0.19685039370078741" right="0.19685039370078741" top="0.74803149606299213" bottom="0.74803149606299213" header="0.31496062992125984" footer="0.31496062992125984"/>
  <pageSetup paperSize="9" scale="97" firstPageNumber="38" orientation="landscape" useFirstPageNumber="1" r:id="rId1"/>
  <headerFooter>
    <oddHeader>&amp;R&amp;P</oddHeader>
    <oddFooter>&amp;R&amp;P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"/>
  <sheetViews>
    <sheetView view="pageBreakPreview" zoomScaleNormal="100" zoomScaleSheetLayoutView="100" workbookViewId="0">
      <selection activeCell="G9" sqref="G9"/>
    </sheetView>
  </sheetViews>
  <sheetFormatPr defaultColWidth="8.88671875" defaultRowHeight="20.25" x14ac:dyDescent="0.3"/>
  <cols>
    <col min="1" max="1" width="4.6640625" customWidth="1"/>
    <col min="2" max="2" width="21.44140625" customWidth="1"/>
    <col min="3" max="3" width="11.77734375" style="25" customWidth="1"/>
    <col min="4" max="9" width="11.109375" customWidth="1"/>
    <col min="10" max="10" width="11.33203125" customWidth="1"/>
  </cols>
  <sheetData>
    <row r="1" spans="1:10" ht="23.25" x14ac:dyDescent="0.35">
      <c r="A1" s="375" t="s">
        <v>65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x14ac:dyDescent="0.3">
      <c r="A2" s="376" t="s">
        <v>397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x14ac:dyDescent="0.3">
      <c r="A3" s="18" t="s">
        <v>39</v>
      </c>
      <c r="B3" s="3"/>
      <c r="C3" s="20"/>
      <c r="D3" s="3"/>
      <c r="E3" s="3"/>
      <c r="F3" s="3"/>
      <c r="G3" s="3"/>
      <c r="H3" s="3"/>
      <c r="I3" s="3"/>
      <c r="J3" s="3"/>
    </row>
    <row r="4" spans="1:10" x14ac:dyDescent="0.3">
      <c r="A4" s="374" t="s">
        <v>46</v>
      </c>
      <c r="B4" s="374"/>
      <c r="C4" s="374"/>
      <c r="D4" s="374"/>
      <c r="E4" s="374"/>
      <c r="F4" s="3"/>
      <c r="G4" s="3"/>
      <c r="H4" s="3"/>
      <c r="I4" s="3"/>
      <c r="J4" s="3"/>
    </row>
    <row r="5" spans="1:10" ht="19.5" customHeight="1" x14ac:dyDescent="0.3">
      <c r="A5" s="8"/>
      <c r="B5" s="3" t="s">
        <v>43</v>
      </c>
      <c r="C5" s="20"/>
      <c r="D5" s="3"/>
      <c r="E5" s="3"/>
      <c r="F5" s="3"/>
      <c r="G5" s="3"/>
      <c r="H5" s="3"/>
      <c r="I5" s="3"/>
      <c r="J5" s="3"/>
    </row>
    <row r="6" spans="1:10" ht="13.5" customHeight="1" x14ac:dyDescent="0.3">
      <c r="A6" s="8"/>
      <c r="B6" s="3"/>
      <c r="C6" s="20"/>
      <c r="D6" s="3"/>
      <c r="E6" s="3"/>
      <c r="F6" s="3"/>
      <c r="G6" s="3"/>
      <c r="H6" s="3"/>
      <c r="I6" s="3"/>
      <c r="J6" s="3"/>
    </row>
    <row r="7" spans="1:10" ht="60.75" x14ac:dyDescent="0.3">
      <c r="A7" s="4" t="s">
        <v>1</v>
      </c>
      <c r="B7" s="5" t="s">
        <v>2</v>
      </c>
      <c r="C7" s="21" t="s">
        <v>68</v>
      </c>
      <c r="D7" s="1" t="s">
        <v>10</v>
      </c>
      <c r="E7" s="6" t="s">
        <v>12</v>
      </c>
      <c r="F7" s="1" t="s">
        <v>11</v>
      </c>
      <c r="G7" s="6" t="s">
        <v>13</v>
      </c>
      <c r="H7" s="5" t="s">
        <v>14</v>
      </c>
      <c r="I7" s="5" t="s">
        <v>3</v>
      </c>
      <c r="J7" s="4" t="s">
        <v>4</v>
      </c>
    </row>
    <row r="8" spans="1:10" ht="72" customHeight="1" x14ac:dyDescent="0.3">
      <c r="A8" s="2">
        <v>1</v>
      </c>
      <c r="B8" s="9" t="s">
        <v>41</v>
      </c>
      <c r="C8" s="38">
        <v>100000</v>
      </c>
      <c r="D8" s="13"/>
      <c r="E8" s="13"/>
      <c r="F8" s="14"/>
      <c r="G8" s="126">
        <v>96800</v>
      </c>
      <c r="H8" s="14">
        <f>C8-G8</f>
        <v>3200</v>
      </c>
      <c r="I8" s="34" t="s">
        <v>8</v>
      </c>
      <c r="J8" s="2"/>
    </row>
    <row r="9" spans="1:10" ht="105.75" customHeight="1" x14ac:dyDescent="0.3">
      <c r="A9" s="2">
        <v>2</v>
      </c>
      <c r="B9" s="9" t="s">
        <v>66</v>
      </c>
      <c r="C9" s="38">
        <v>1860</v>
      </c>
      <c r="D9" s="29"/>
      <c r="E9" s="29"/>
      <c r="F9" s="29"/>
      <c r="G9" s="29"/>
      <c r="H9" s="65">
        <v>1860</v>
      </c>
      <c r="I9" s="41" t="s">
        <v>8</v>
      </c>
      <c r="J9" s="29"/>
    </row>
    <row r="10" spans="1:10" x14ac:dyDescent="0.3">
      <c r="A10" s="335" t="s">
        <v>82</v>
      </c>
      <c r="B10" s="336"/>
      <c r="C10" s="68">
        <f>SUM(C8:C9)</f>
        <v>101860</v>
      </c>
      <c r="D10" s="29"/>
      <c r="E10" s="29"/>
      <c r="F10" s="29"/>
      <c r="G10" s="127">
        <f>SUM(G8:G9)</f>
        <v>96800</v>
      </c>
      <c r="H10" s="68">
        <f>SUM(H8:H9)</f>
        <v>5060</v>
      </c>
      <c r="I10" s="29"/>
      <c r="J10" s="29"/>
    </row>
  </sheetData>
  <mergeCells count="4">
    <mergeCell ref="A1:J1"/>
    <mergeCell ref="A2:J2"/>
    <mergeCell ref="A4:E4"/>
    <mergeCell ref="A10:B10"/>
  </mergeCells>
  <pageMargins left="0.19685039370078741" right="0.19685039370078741" top="0.74803149606299213" bottom="0.74803149606299213" header="0.31496062992125984" footer="0.31496062992125984"/>
  <pageSetup paperSize="9" scale="97" firstPageNumber="39" orientation="landscape" useFirstPageNumber="1" r:id="rId1"/>
  <headerFooter>
    <oddHeader>&amp;R&amp;P</oddHeader>
    <oddFooter>&amp;R&amp;P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"/>
  <sheetViews>
    <sheetView view="pageBreakPreview" zoomScale="110" zoomScaleNormal="100" zoomScaleSheetLayoutView="110" workbookViewId="0">
      <selection activeCell="A3" sqref="A3"/>
    </sheetView>
  </sheetViews>
  <sheetFormatPr defaultColWidth="8.88671875" defaultRowHeight="20.25" x14ac:dyDescent="0.3"/>
  <cols>
    <col min="1" max="1" width="4.6640625" customWidth="1"/>
    <col min="2" max="2" width="22.21875" customWidth="1"/>
    <col min="3" max="3" width="12" style="25" customWidth="1"/>
    <col min="4" max="8" width="11.109375" customWidth="1"/>
    <col min="9" max="9" width="10" customWidth="1"/>
    <col min="10" max="10" width="11.33203125" customWidth="1"/>
  </cols>
  <sheetData>
    <row r="1" spans="1:10" ht="23.25" x14ac:dyDescent="0.35">
      <c r="A1" s="375" t="s">
        <v>65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x14ac:dyDescent="0.3">
      <c r="A2" s="376" t="s">
        <v>397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x14ac:dyDescent="0.3">
      <c r="A3" s="18" t="s">
        <v>39</v>
      </c>
      <c r="B3" s="3"/>
      <c r="C3" s="20"/>
      <c r="D3" s="3"/>
      <c r="E3" s="3"/>
      <c r="F3" s="3"/>
      <c r="G3" s="3"/>
      <c r="H3" s="3"/>
      <c r="I3" s="3"/>
      <c r="J3" s="3"/>
    </row>
    <row r="4" spans="1:10" s="64" customFormat="1" x14ac:dyDescent="0.3">
      <c r="A4" s="379" t="s">
        <v>47</v>
      </c>
      <c r="B4" s="379"/>
      <c r="C4" s="379"/>
      <c r="D4" s="379"/>
      <c r="E4" s="379"/>
      <c r="F4" s="62"/>
      <c r="G4" s="62"/>
      <c r="H4" s="62"/>
      <c r="I4" s="62"/>
      <c r="J4" s="62"/>
    </row>
    <row r="5" spans="1:10" s="64" customFormat="1" ht="22.5" customHeight="1" x14ac:dyDescent="0.3">
      <c r="A5" s="61"/>
      <c r="B5" s="62" t="s">
        <v>42</v>
      </c>
      <c r="C5" s="63"/>
      <c r="D5" s="62"/>
      <c r="E5" s="62"/>
      <c r="F5" s="62"/>
      <c r="G5" s="62"/>
      <c r="H5" s="62"/>
      <c r="I5" s="62"/>
      <c r="J5" s="62"/>
    </row>
    <row r="6" spans="1:10" ht="13.5" customHeight="1" x14ac:dyDescent="0.3">
      <c r="A6" s="8"/>
      <c r="B6" s="3"/>
      <c r="C6" s="20"/>
      <c r="D6" s="3"/>
      <c r="E6" s="3"/>
      <c r="F6" s="3"/>
      <c r="G6" s="3"/>
      <c r="H6" s="3"/>
      <c r="I6" s="3"/>
      <c r="J6" s="3"/>
    </row>
    <row r="7" spans="1:10" ht="60.75" x14ac:dyDescent="0.3">
      <c r="A7" s="4" t="s">
        <v>1</v>
      </c>
      <c r="B7" s="5" t="s">
        <v>2</v>
      </c>
      <c r="C7" s="21" t="s">
        <v>68</v>
      </c>
      <c r="D7" s="1" t="s">
        <v>10</v>
      </c>
      <c r="E7" s="6" t="s">
        <v>12</v>
      </c>
      <c r="F7" s="1" t="s">
        <v>11</v>
      </c>
      <c r="G7" s="6" t="s">
        <v>13</v>
      </c>
      <c r="H7" s="5" t="s">
        <v>14</v>
      </c>
      <c r="I7" s="5" t="s">
        <v>3</v>
      </c>
      <c r="J7" s="4" t="s">
        <v>4</v>
      </c>
    </row>
    <row r="8" spans="1:10" ht="63.75" customHeight="1" x14ac:dyDescent="0.3">
      <c r="A8" s="2">
        <v>1</v>
      </c>
      <c r="B8" s="42" t="s">
        <v>44</v>
      </c>
      <c r="C8" s="36">
        <v>50000</v>
      </c>
      <c r="D8" s="29"/>
      <c r="E8" s="29"/>
      <c r="F8" s="29"/>
      <c r="G8" s="29"/>
      <c r="H8" s="65">
        <v>50000</v>
      </c>
      <c r="I8" s="34" t="s">
        <v>8</v>
      </c>
      <c r="J8" s="29"/>
    </row>
    <row r="9" spans="1:10" ht="73.5" customHeight="1" x14ac:dyDescent="0.3">
      <c r="A9" s="2">
        <v>2</v>
      </c>
      <c r="B9" s="42" t="s">
        <v>45</v>
      </c>
      <c r="C9" s="36">
        <v>40000</v>
      </c>
      <c r="D9" s="29"/>
      <c r="E9" s="29"/>
      <c r="F9" s="29"/>
      <c r="G9" s="29"/>
      <c r="H9" s="65">
        <v>40000</v>
      </c>
      <c r="I9" s="34" t="s">
        <v>8</v>
      </c>
      <c r="J9" s="29"/>
    </row>
    <row r="10" spans="1:10" x14ac:dyDescent="0.3">
      <c r="A10" s="335" t="s">
        <v>82</v>
      </c>
      <c r="B10" s="336"/>
      <c r="C10" s="68">
        <f>SUM(C8:C9)</f>
        <v>90000</v>
      </c>
      <c r="D10" s="29"/>
      <c r="E10" s="29"/>
      <c r="F10" s="29"/>
      <c r="G10" s="29"/>
      <c r="H10" s="68">
        <f>SUM(H8:H9)</f>
        <v>90000</v>
      </c>
      <c r="I10" s="29"/>
      <c r="J10" s="29"/>
    </row>
  </sheetData>
  <mergeCells count="4">
    <mergeCell ref="A1:J1"/>
    <mergeCell ref="A2:J2"/>
    <mergeCell ref="A4:E4"/>
    <mergeCell ref="A10:B10"/>
  </mergeCells>
  <pageMargins left="0.19685039370078741" right="0.19685039370078741" top="0.74803149606299213" bottom="0.74803149606299213" header="0.31496062992125984" footer="0.31496062992125984"/>
  <pageSetup paperSize="9" scale="97" firstPageNumber="40" orientation="landscape" useFirstPageNumber="1" r:id="rId1"/>
  <headerFooter>
    <oddHeader>&amp;R&amp;P</oddHeader>
    <oddFooter>&amp;R&amp;P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view="pageBreakPreview" topLeftCell="A27" zoomScale="130" zoomScaleNormal="100" zoomScaleSheetLayoutView="130" workbookViewId="0">
      <selection activeCell="H27" sqref="H27"/>
    </sheetView>
  </sheetViews>
  <sheetFormatPr defaultColWidth="8.88671875" defaultRowHeight="20.25" x14ac:dyDescent="0.3"/>
  <cols>
    <col min="1" max="1" width="5.5546875" customWidth="1"/>
    <col min="2" max="2" width="23" customWidth="1"/>
    <col min="3" max="3" width="12" style="25" customWidth="1"/>
    <col min="4" max="8" width="10.33203125" customWidth="1"/>
    <col min="9" max="9" width="10.5546875" customWidth="1"/>
    <col min="10" max="10" width="11.33203125" customWidth="1"/>
  </cols>
  <sheetData>
    <row r="1" spans="1:10" ht="23.25" x14ac:dyDescent="0.35">
      <c r="A1" s="375" t="s">
        <v>65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x14ac:dyDescent="0.3">
      <c r="A2" s="376" t="s">
        <v>397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x14ac:dyDescent="0.3">
      <c r="A3" s="18" t="s">
        <v>48</v>
      </c>
      <c r="B3" s="3"/>
      <c r="C3" s="20"/>
      <c r="D3" s="3"/>
      <c r="E3" s="3"/>
      <c r="F3" s="3"/>
      <c r="G3" s="3"/>
      <c r="H3" s="3"/>
      <c r="I3" s="3"/>
      <c r="J3" s="3"/>
    </row>
    <row r="4" spans="1:10" x14ac:dyDescent="0.3">
      <c r="A4" s="374" t="s">
        <v>49</v>
      </c>
      <c r="B4" s="374"/>
      <c r="C4" s="374"/>
      <c r="D4" s="3"/>
      <c r="E4" s="3"/>
      <c r="F4" s="3"/>
      <c r="G4" s="3"/>
      <c r="H4" s="3"/>
      <c r="I4" s="3"/>
      <c r="J4" s="3"/>
    </row>
    <row r="5" spans="1:10" ht="18.75" customHeight="1" x14ac:dyDescent="0.3">
      <c r="A5" s="8"/>
      <c r="B5" s="3" t="s">
        <v>50</v>
      </c>
      <c r="C5" s="20"/>
      <c r="D5" s="3"/>
      <c r="E5" s="3"/>
      <c r="F5" s="3"/>
      <c r="G5" s="3"/>
      <c r="H5" s="3"/>
      <c r="I5" s="3"/>
      <c r="J5" s="3"/>
    </row>
    <row r="6" spans="1:10" ht="13.5" customHeight="1" x14ac:dyDescent="0.3">
      <c r="A6" s="8"/>
      <c r="B6" s="3"/>
      <c r="C6" s="20"/>
      <c r="D6" s="3"/>
      <c r="E6" s="3"/>
      <c r="F6" s="3"/>
      <c r="G6" s="3"/>
      <c r="H6" s="3"/>
      <c r="I6" s="3"/>
      <c r="J6" s="3"/>
    </row>
    <row r="7" spans="1:10" ht="60.75" x14ac:dyDescent="0.3">
      <c r="A7" s="4" t="s">
        <v>1</v>
      </c>
      <c r="B7" s="5" t="s">
        <v>2</v>
      </c>
      <c r="C7" s="21" t="s">
        <v>68</v>
      </c>
      <c r="D7" s="1" t="s">
        <v>10</v>
      </c>
      <c r="E7" s="6" t="s">
        <v>12</v>
      </c>
      <c r="F7" s="1" t="s">
        <v>11</v>
      </c>
      <c r="G7" s="6" t="s">
        <v>13</v>
      </c>
      <c r="H7" s="5" t="s">
        <v>14</v>
      </c>
      <c r="I7" s="5" t="s">
        <v>3</v>
      </c>
      <c r="J7" s="4" t="s">
        <v>4</v>
      </c>
    </row>
    <row r="8" spans="1:10" ht="46.5" customHeight="1" x14ac:dyDescent="0.3">
      <c r="A8" s="2">
        <v>1</v>
      </c>
      <c r="B8" s="47" t="s">
        <v>51</v>
      </c>
      <c r="C8" s="48">
        <v>117000</v>
      </c>
      <c r="D8" s="13"/>
      <c r="E8" s="13"/>
      <c r="F8" s="14">
        <v>9750</v>
      </c>
      <c r="G8" s="14">
        <v>105950</v>
      </c>
      <c r="H8" s="14">
        <f>1300+F8</f>
        <v>11050</v>
      </c>
      <c r="I8" s="34" t="s">
        <v>8</v>
      </c>
      <c r="J8" s="7"/>
    </row>
    <row r="9" spans="1:10" ht="66.75" customHeight="1" x14ac:dyDescent="0.3">
      <c r="A9" s="2">
        <v>2</v>
      </c>
      <c r="B9" s="49" t="s">
        <v>52</v>
      </c>
      <c r="C9" s="50">
        <v>100000</v>
      </c>
      <c r="D9" s="13">
        <v>31480</v>
      </c>
      <c r="E9" s="14">
        <v>100000</v>
      </c>
      <c r="F9" s="14">
        <v>25964</v>
      </c>
      <c r="G9" s="13">
        <v>0</v>
      </c>
      <c r="H9" s="14">
        <f>5516+F9</f>
        <v>31480</v>
      </c>
      <c r="I9" s="34" t="s">
        <v>8</v>
      </c>
      <c r="J9" s="7"/>
    </row>
    <row r="10" spans="1:10" ht="101.25" customHeight="1" x14ac:dyDescent="0.3">
      <c r="A10" s="2">
        <v>3</v>
      </c>
      <c r="B10" s="51" t="s">
        <v>53</v>
      </c>
      <c r="C10" s="50">
        <v>1000</v>
      </c>
      <c r="D10" s="13"/>
      <c r="E10" s="13"/>
      <c r="F10" s="14"/>
      <c r="G10" s="13"/>
      <c r="H10" s="14">
        <v>1000</v>
      </c>
      <c r="I10" s="34" t="s">
        <v>8</v>
      </c>
      <c r="J10" s="7"/>
    </row>
    <row r="11" spans="1:10" ht="95.25" customHeight="1" x14ac:dyDescent="0.3">
      <c r="A11" s="2">
        <v>4</v>
      </c>
      <c r="B11" s="39" t="s">
        <v>54</v>
      </c>
      <c r="C11" s="50">
        <v>2000</v>
      </c>
      <c r="D11" s="16">
        <v>9500</v>
      </c>
      <c r="E11" s="16"/>
      <c r="F11" s="14"/>
      <c r="G11" s="16">
        <v>10750</v>
      </c>
      <c r="H11" s="15">
        <v>750</v>
      </c>
      <c r="I11" s="34" t="s">
        <v>8</v>
      </c>
      <c r="J11" s="7"/>
    </row>
    <row r="12" spans="1:10" ht="21" customHeight="1" x14ac:dyDescent="0.3">
      <c r="A12" s="381"/>
      <c r="B12" s="381"/>
      <c r="C12" s="128"/>
      <c r="D12" s="129"/>
      <c r="E12" s="129"/>
      <c r="F12" s="130"/>
      <c r="G12" s="131"/>
      <c r="H12" s="131"/>
      <c r="I12" s="145"/>
      <c r="J12" s="144"/>
    </row>
    <row r="13" spans="1:10" ht="18" customHeight="1" x14ac:dyDescent="0.3">
      <c r="A13" s="12"/>
      <c r="B13" s="12"/>
      <c r="C13" s="12"/>
      <c r="D13" s="12"/>
      <c r="E13" s="12"/>
      <c r="F13" s="12"/>
      <c r="G13" s="53"/>
      <c r="H13" s="53"/>
      <c r="I13" s="54"/>
      <c r="J13" s="12"/>
    </row>
    <row r="14" spans="1:10" ht="21" customHeight="1" x14ac:dyDescent="0.3">
      <c r="A14" s="8"/>
      <c r="B14" s="3" t="s">
        <v>50</v>
      </c>
      <c r="C14" s="20"/>
      <c r="D14" s="3"/>
      <c r="E14" s="3"/>
      <c r="F14" s="3"/>
      <c r="G14" s="3"/>
      <c r="H14" s="3"/>
      <c r="I14" s="3"/>
      <c r="J14" s="3"/>
    </row>
    <row r="15" spans="1:10" ht="13.5" customHeight="1" x14ac:dyDescent="0.3">
      <c r="A15" s="8"/>
      <c r="B15" s="3"/>
      <c r="C15" s="20"/>
      <c r="D15" s="3"/>
      <c r="E15" s="3"/>
      <c r="F15" s="3"/>
      <c r="G15" s="3"/>
      <c r="H15" s="3"/>
      <c r="I15" s="3"/>
      <c r="J15" s="3"/>
    </row>
    <row r="16" spans="1:10" ht="60.75" x14ac:dyDescent="0.3">
      <c r="A16" s="4" t="s">
        <v>1</v>
      </c>
      <c r="B16" s="5" t="s">
        <v>2</v>
      </c>
      <c r="C16" s="21" t="s">
        <v>68</v>
      </c>
      <c r="D16" s="1" t="s">
        <v>10</v>
      </c>
      <c r="E16" s="6" t="s">
        <v>12</v>
      </c>
      <c r="F16" s="1" t="s">
        <v>11</v>
      </c>
      <c r="G16" s="6" t="s">
        <v>13</v>
      </c>
      <c r="H16" s="5" t="s">
        <v>14</v>
      </c>
      <c r="I16" s="5" t="s">
        <v>3</v>
      </c>
      <c r="J16" s="4" t="s">
        <v>4</v>
      </c>
    </row>
    <row r="17" spans="1:10" ht="78" customHeight="1" x14ac:dyDescent="0.3">
      <c r="A17" s="2">
        <v>5</v>
      </c>
      <c r="B17" s="39" t="s">
        <v>7</v>
      </c>
      <c r="C17" s="50">
        <v>2029</v>
      </c>
      <c r="D17" s="16"/>
      <c r="E17" s="16"/>
      <c r="F17" s="14"/>
      <c r="G17" s="16">
        <v>2029</v>
      </c>
      <c r="H17" s="15">
        <v>0</v>
      </c>
      <c r="I17" s="34" t="s">
        <v>8</v>
      </c>
      <c r="J17" s="7"/>
    </row>
    <row r="18" spans="1:10" ht="74.25" customHeight="1" x14ac:dyDescent="0.3">
      <c r="A18" s="2">
        <v>6</v>
      </c>
      <c r="B18" s="39" t="s">
        <v>55</v>
      </c>
      <c r="C18" s="50">
        <v>260000</v>
      </c>
      <c r="D18" s="16"/>
      <c r="E18" s="132">
        <v>72340</v>
      </c>
      <c r="F18" s="14"/>
      <c r="G18" s="15">
        <v>187660</v>
      </c>
      <c r="H18" s="15">
        <v>0</v>
      </c>
      <c r="I18" s="34" t="s">
        <v>8</v>
      </c>
      <c r="J18" s="7"/>
    </row>
    <row r="19" spans="1:10" ht="53.25" customHeight="1" x14ac:dyDescent="0.3">
      <c r="A19" s="2">
        <v>7</v>
      </c>
      <c r="B19" s="52" t="s">
        <v>56</v>
      </c>
      <c r="C19" s="50">
        <v>1000</v>
      </c>
      <c r="D19" s="15"/>
      <c r="E19" s="16"/>
      <c r="F19" s="14"/>
      <c r="G19" s="16"/>
      <c r="H19" s="15">
        <v>1000</v>
      </c>
      <c r="I19" s="34" t="s">
        <v>8</v>
      </c>
      <c r="J19" s="7"/>
    </row>
    <row r="20" spans="1:10" ht="93" customHeight="1" x14ac:dyDescent="0.3">
      <c r="A20" s="2">
        <v>8</v>
      </c>
      <c r="B20" s="39" t="s">
        <v>57</v>
      </c>
      <c r="C20" s="50">
        <v>20000</v>
      </c>
      <c r="D20" s="16"/>
      <c r="E20" s="132">
        <v>20000</v>
      </c>
      <c r="F20" s="15"/>
      <c r="G20" s="16"/>
      <c r="H20" s="15">
        <v>0</v>
      </c>
      <c r="I20" s="34" t="s">
        <v>8</v>
      </c>
      <c r="J20" s="7"/>
    </row>
    <row r="21" spans="1:10" ht="56.25" customHeight="1" x14ac:dyDescent="0.3">
      <c r="A21" s="104">
        <v>9</v>
      </c>
      <c r="B21" s="133" t="s">
        <v>58</v>
      </c>
      <c r="C21" s="134">
        <v>30000</v>
      </c>
      <c r="D21" s="135"/>
      <c r="E21" s="135"/>
      <c r="F21" s="136"/>
      <c r="G21" s="137">
        <v>27305</v>
      </c>
      <c r="H21" s="136">
        <v>2695</v>
      </c>
      <c r="I21" s="108" t="s">
        <v>8</v>
      </c>
      <c r="J21" s="138"/>
    </row>
    <row r="22" spans="1:10" s="143" customFormat="1" ht="23.25" customHeight="1" x14ac:dyDescent="0.3">
      <c r="A22" s="382"/>
      <c r="B22" s="382"/>
      <c r="C22" s="139"/>
      <c r="D22" s="140"/>
      <c r="E22" s="140"/>
      <c r="F22" s="141"/>
      <c r="G22" s="140"/>
      <c r="H22" s="141"/>
      <c r="I22" s="142"/>
      <c r="J22" s="10"/>
    </row>
    <row r="23" spans="1:10" ht="24" customHeight="1" x14ac:dyDescent="0.3">
      <c r="A23" s="11"/>
      <c r="B23" s="380" t="s">
        <v>59</v>
      </c>
      <c r="C23" s="380"/>
      <c r="D23" s="380"/>
      <c r="E23" s="380"/>
      <c r="F23" s="56"/>
      <c r="G23" s="53"/>
      <c r="H23" s="53"/>
      <c r="I23" s="33"/>
      <c r="J23" s="12"/>
    </row>
    <row r="24" spans="1:10" ht="16.5" customHeight="1" x14ac:dyDescent="0.3">
      <c r="A24" s="11"/>
      <c r="B24" s="33"/>
      <c r="C24" s="55"/>
      <c r="D24" s="53"/>
      <c r="E24" s="53"/>
      <c r="F24" s="56"/>
      <c r="G24" s="53"/>
      <c r="H24" s="53"/>
      <c r="I24" s="33"/>
      <c r="J24" s="12"/>
    </row>
    <row r="25" spans="1:10" ht="60.75" x14ac:dyDescent="0.3">
      <c r="A25" s="4" t="s">
        <v>1</v>
      </c>
      <c r="B25" s="5" t="s">
        <v>2</v>
      </c>
      <c r="C25" s="21" t="s">
        <v>68</v>
      </c>
      <c r="D25" s="1" t="s">
        <v>10</v>
      </c>
      <c r="E25" s="6" t="s">
        <v>12</v>
      </c>
      <c r="F25" s="1" t="s">
        <v>11</v>
      </c>
      <c r="G25" s="6" t="s">
        <v>13</v>
      </c>
      <c r="H25" s="5" t="s">
        <v>14</v>
      </c>
      <c r="I25" s="5" t="s">
        <v>3</v>
      </c>
      <c r="J25" s="4" t="s">
        <v>4</v>
      </c>
    </row>
    <row r="26" spans="1:10" ht="68.25" customHeight="1" x14ac:dyDescent="0.3">
      <c r="A26" s="2">
        <v>10</v>
      </c>
      <c r="B26" s="39" t="s">
        <v>60</v>
      </c>
      <c r="C26" s="57">
        <v>117000</v>
      </c>
      <c r="D26" s="29"/>
      <c r="E26" s="29"/>
      <c r="F26" s="65">
        <v>9750</v>
      </c>
      <c r="G26" s="65">
        <v>103350</v>
      </c>
      <c r="H26" s="65">
        <f>3900+F26</f>
        <v>13650</v>
      </c>
      <c r="I26" s="34" t="s">
        <v>8</v>
      </c>
      <c r="J26" s="29"/>
    </row>
    <row r="27" spans="1:10" ht="15.75" customHeight="1" x14ac:dyDescent="0.3">
      <c r="A27" s="58"/>
    </row>
    <row r="28" spans="1:10" ht="24.75" customHeight="1" x14ac:dyDescent="0.3">
      <c r="A28" s="58"/>
      <c r="B28" s="59" t="s">
        <v>61</v>
      </c>
    </row>
    <row r="29" spans="1:10" ht="17.25" customHeight="1" x14ac:dyDescent="0.3"/>
    <row r="30" spans="1:10" ht="60.75" x14ac:dyDescent="0.3">
      <c r="A30" s="4" t="s">
        <v>1</v>
      </c>
      <c r="B30" s="5" t="s">
        <v>2</v>
      </c>
      <c r="C30" s="21" t="s">
        <v>68</v>
      </c>
      <c r="D30" s="1" t="s">
        <v>10</v>
      </c>
      <c r="E30" s="6" t="s">
        <v>12</v>
      </c>
      <c r="F30" s="1" t="s">
        <v>11</v>
      </c>
      <c r="G30" s="6" t="s">
        <v>13</v>
      </c>
      <c r="H30" s="5" t="s">
        <v>14</v>
      </c>
      <c r="I30" s="5" t="s">
        <v>3</v>
      </c>
      <c r="J30" s="4" t="s">
        <v>4</v>
      </c>
    </row>
    <row r="31" spans="1:10" ht="120.75" customHeight="1" x14ac:dyDescent="0.3">
      <c r="A31" s="41">
        <v>11</v>
      </c>
      <c r="B31" s="39" t="s">
        <v>62</v>
      </c>
      <c r="C31" s="57">
        <v>10000</v>
      </c>
      <c r="D31" s="29"/>
      <c r="E31" s="29"/>
      <c r="F31" s="29"/>
      <c r="G31" s="65">
        <v>9990</v>
      </c>
      <c r="H31" s="65">
        <v>10</v>
      </c>
      <c r="I31" s="41" t="s">
        <v>67</v>
      </c>
      <c r="J31" s="29"/>
    </row>
    <row r="32" spans="1:10" ht="25.5" customHeight="1" x14ac:dyDescent="0.3">
      <c r="A32" s="29"/>
      <c r="B32" s="29" t="s">
        <v>83</v>
      </c>
      <c r="C32" s="68">
        <f t="shared" ref="C32:H32" si="0">C8+C9+C10+C11+C17+C18+C19+C20+C21+C26+C31</f>
        <v>660029</v>
      </c>
      <c r="D32" s="68">
        <f t="shared" si="0"/>
        <v>40980</v>
      </c>
      <c r="E32" s="68">
        <f t="shared" si="0"/>
        <v>192340</v>
      </c>
      <c r="F32" s="68">
        <f t="shared" si="0"/>
        <v>45464</v>
      </c>
      <c r="G32" s="68">
        <f t="shared" si="0"/>
        <v>447034</v>
      </c>
      <c r="H32" s="68">
        <f t="shared" si="0"/>
        <v>61635</v>
      </c>
      <c r="I32" s="29"/>
      <c r="J32" s="29"/>
    </row>
  </sheetData>
  <mergeCells count="6">
    <mergeCell ref="B23:E23"/>
    <mergeCell ref="A1:J1"/>
    <mergeCell ref="A2:J2"/>
    <mergeCell ref="A4:C4"/>
    <mergeCell ref="A12:B12"/>
    <mergeCell ref="A22:B22"/>
  </mergeCells>
  <pageMargins left="0.19685039370078741" right="0.19685039370078741" top="0.74803149606299213" bottom="0.74803149606299213" header="0.31496062992125984" footer="0.31496062992125984"/>
  <pageSetup paperSize="9" scale="97" firstPageNumber="41" orientation="landscape" useFirstPageNumber="1" r:id="rId1"/>
  <headerFooter>
    <oddHeader>&amp;R&amp;P</oddHeader>
    <oddFooter>&amp;R&amp;P</oddFooter>
  </headerFooter>
  <rowBreaks count="2" manualBreakCount="2">
    <brk id="12" max="9" man="1"/>
    <brk id="22" max="9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view="pageBreakPreview" topLeftCell="A4" zoomScale="130" zoomScaleNormal="100" zoomScaleSheetLayoutView="130" workbookViewId="0">
      <selection activeCell="A2" sqref="A2:J2"/>
    </sheetView>
  </sheetViews>
  <sheetFormatPr defaultColWidth="8.88671875" defaultRowHeight="20.25" x14ac:dyDescent="0.3"/>
  <cols>
    <col min="1" max="1" width="4.6640625" customWidth="1"/>
    <col min="2" max="2" width="22" customWidth="1"/>
    <col min="3" max="3" width="12" style="25" customWidth="1"/>
    <col min="4" max="8" width="10.5546875" customWidth="1"/>
    <col min="9" max="9" width="9.88671875" customWidth="1"/>
    <col min="10" max="10" width="10.33203125" customWidth="1"/>
  </cols>
  <sheetData>
    <row r="1" spans="1:10" ht="23.25" x14ac:dyDescent="0.35">
      <c r="A1" s="375" t="s">
        <v>65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x14ac:dyDescent="0.3">
      <c r="A2" s="376" t="s">
        <v>397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x14ac:dyDescent="0.3">
      <c r="A3" s="18"/>
      <c r="B3" s="3"/>
      <c r="C3" s="20"/>
      <c r="D3" s="3"/>
      <c r="E3" s="3"/>
      <c r="F3" s="3"/>
      <c r="G3" s="3"/>
      <c r="H3" s="3"/>
      <c r="I3" s="3"/>
      <c r="J3" s="3"/>
    </row>
    <row r="4" spans="1:10" x14ac:dyDescent="0.3">
      <c r="A4" s="18" t="s">
        <v>48</v>
      </c>
      <c r="B4" s="3"/>
      <c r="C4" s="20"/>
      <c r="D4" s="3"/>
      <c r="E4" s="3"/>
      <c r="F4" s="3"/>
      <c r="G4" s="3"/>
      <c r="H4" s="3"/>
      <c r="I4" s="3"/>
      <c r="J4" s="3"/>
    </row>
    <row r="5" spans="1:10" x14ac:dyDescent="0.3">
      <c r="A5" s="374" t="s">
        <v>235</v>
      </c>
      <c r="B5" s="374"/>
      <c r="C5" s="374"/>
      <c r="D5" s="3"/>
      <c r="E5" s="3"/>
      <c r="F5" s="3"/>
      <c r="G5" s="3"/>
      <c r="H5" s="3"/>
      <c r="I5" s="3"/>
      <c r="J5" s="3"/>
    </row>
    <row r="6" spans="1:10" ht="20.25" customHeight="1" x14ac:dyDescent="0.3">
      <c r="A6" s="8"/>
      <c r="B6" s="3" t="s">
        <v>63</v>
      </c>
      <c r="C6" s="20"/>
      <c r="D6" s="3"/>
      <c r="E6" s="3"/>
      <c r="F6" s="3"/>
      <c r="G6" s="3"/>
      <c r="H6" s="3"/>
      <c r="I6" s="3"/>
      <c r="J6" s="3"/>
    </row>
    <row r="7" spans="1:10" ht="13.5" customHeight="1" x14ac:dyDescent="0.3">
      <c r="A7" s="8"/>
      <c r="B7" s="3"/>
      <c r="C7" s="20"/>
      <c r="D7" s="3"/>
      <c r="E7" s="3"/>
      <c r="F7" s="3"/>
      <c r="G7" s="3"/>
      <c r="H7" s="3"/>
      <c r="I7" s="3"/>
      <c r="J7" s="3"/>
    </row>
    <row r="8" spans="1:10" ht="60.75" x14ac:dyDescent="0.3">
      <c r="A8" s="4" t="s">
        <v>1</v>
      </c>
      <c r="B8" s="5" t="s">
        <v>2</v>
      </c>
      <c r="C8" s="21" t="s">
        <v>68</v>
      </c>
      <c r="D8" s="1" t="s">
        <v>10</v>
      </c>
      <c r="E8" s="6" t="s">
        <v>12</v>
      </c>
      <c r="F8" s="1" t="s">
        <v>11</v>
      </c>
      <c r="G8" s="6" t="s">
        <v>13</v>
      </c>
      <c r="H8" s="5" t="s">
        <v>14</v>
      </c>
      <c r="I8" s="5" t="s">
        <v>3</v>
      </c>
      <c r="J8" s="4" t="s">
        <v>4</v>
      </c>
    </row>
    <row r="9" spans="1:10" ht="72" customHeight="1" x14ac:dyDescent="0.3">
      <c r="A9" s="2">
        <v>1</v>
      </c>
      <c r="B9" s="42" t="s">
        <v>69</v>
      </c>
      <c r="C9" s="60">
        <v>200000</v>
      </c>
      <c r="D9" s="13"/>
      <c r="E9" s="13">
        <v>200000</v>
      </c>
      <c r="F9" s="14"/>
      <c r="G9" s="13"/>
      <c r="H9" s="14">
        <v>0</v>
      </c>
      <c r="I9" s="34" t="s">
        <v>8</v>
      </c>
      <c r="J9" s="2"/>
    </row>
    <row r="11" spans="1:10" x14ac:dyDescent="0.3">
      <c r="B11" t="s">
        <v>233</v>
      </c>
    </row>
    <row r="12" spans="1:10" s="147" customFormat="1" ht="60.75" x14ac:dyDescent="0.3">
      <c r="A12" s="41">
        <v>2</v>
      </c>
      <c r="B12" s="146" t="s">
        <v>234</v>
      </c>
      <c r="C12" s="65">
        <v>9950</v>
      </c>
      <c r="D12" s="66"/>
      <c r="E12" s="66"/>
      <c r="F12" s="66"/>
      <c r="G12" s="66">
        <v>9588</v>
      </c>
      <c r="H12" s="66">
        <v>362</v>
      </c>
      <c r="I12" s="66" t="s">
        <v>8</v>
      </c>
      <c r="J12" s="66"/>
    </row>
  </sheetData>
  <mergeCells count="3">
    <mergeCell ref="A1:J1"/>
    <mergeCell ref="A2:J2"/>
    <mergeCell ref="A5:C5"/>
  </mergeCells>
  <pageMargins left="0.19685039370078741" right="0.19685039370078741" top="0.74803149606299213" bottom="0.74803149606299213" header="0.31496062992125984" footer="0.31496062992125984"/>
  <pageSetup paperSize="9" scale="97" firstPageNumber="44" orientation="landscape" useFirstPageNumber="1" r:id="rId1"/>
  <headerFooter>
    <oddHeader>&amp;R&amp;P</oddHeader>
    <oddFooter>&amp;R&amp;P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"/>
  <sheetViews>
    <sheetView view="pageBreakPreview" topLeftCell="B46" zoomScale="130" zoomScaleNormal="100" zoomScaleSheetLayoutView="130" workbookViewId="0">
      <selection activeCell="B5" sqref="B5"/>
    </sheetView>
  </sheetViews>
  <sheetFormatPr defaultColWidth="6.77734375" defaultRowHeight="16.5" x14ac:dyDescent="0.3"/>
  <cols>
    <col min="1" max="1" width="4.44140625" style="207" customWidth="1"/>
    <col min="2" max="2" width="22.109375" style="208" customWidth="1"/>
    <col min="3" max="3" width="4.77734375" style="207" customWidth="1"/>
    <col min="4" max="4" width="9.6640625" style="198" customWidth="1"/>
    <col min="5" max="5" width="10.5546875" style="207" customWidth="1"/>
    <col min="6" max="6" width="9.109375" style="209" customWidth="1"/>
    <col min="7" max="7" width="8.6640625" style="210" customWidth="1"/>
    <col min="8" max="8" width="9.6640625" style="211" customWidth="1"/>
    <col min="9" max="9" width="7.109375" style="212" customWidth="1"/>
    <col min="10" max="10" width="8.44140625" style="212" customWidth="1"/>
    <col min="11" max="11" width="7.21875" style="212" customWidth="1"/>
    <col min="12" max="12" width="9" style="207" customWidth="1"/>
    <col min="13" max="13" width="7.77734375" style="198" customWidth="1"/>
    <col min="14" max="14" width="5.88671875" style="198" customWidth="1"/>
    <col min="15" max="15" width="5.5546875" style="198" customWidth="1"/>
    <col min="16" max="16384" width="6.77734375" style="186"/>
  </cols>
  <sheetData>
    <row r="2" spans="1:15" s="214" customFormat="1" ht="23.25" customHeight="1" x14ac:dyDescent="0.3">
      <c r="A2" s="383" t="s">
        <v>322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</row>
    <row r="3" spans="1:15" s="214" customFormat="1" ht="23.25" customHeight="1" x14ac:dyDescent="0.3">
      <c r="A3" s="383" t="s">
        <v>323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</row>
    <row r="4" spans="1:15" s="214" customFormat="1" ht="23.25" customHeight="1" x14ac:dyDescent="0.3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5" s="213" customFormat="1" ht="38.25" customHeight="1" x14ac:dyDescent="0.3">
      <c r="A5" s="216" t="s">
        <v>102</v>
      </c>
      <c r="B5" s="216" t="s">
        <v>103</v>
      </c>
      <c r="C5" s="216" t="s">
        <v>104</v>
      </c>
      <c r="D5" s="173" t="s">
        <v>105</v>
      </c>
      <c r="E5" s="216" t="s">
        <v>106</v>
      </c>
      <c r="F5" s="217" t="s">
        <v>107</v>
      </c>
      <c r="G5" s="218" t="s">
        <v>321</v>
      </c>
      <c r="H5" s="218" t="s">
        <v>109</v>
      </c>
      <c r="I5" s="219" t="s">
        <v>110</v>
      </c>
      <c r="J5" s="219" t="s">
        <v>111</v>
      </c>
      <c r="K5" s="219" t="s">
        <v>112</v>
      </c>
      <c r="L5" s="216" t="s">
        <v>113</v>
      </c>
      <c r="M5" s="173" t="s">
        <v>114</v>
      </c>
      <c r="N5" s="220" t="s">
        <v>115</v>
      </c>
      <c r="O5" s="173" t="s">
        <v>116</v>
      </c>
    </row>
    <row r="6" spans="1:15" ht="56.25" customHeight="1" x14ac:dyDescent="0.3">
      <c r="A6" s="178">
        <v>1</v>
      </c>
      <c r="B6" s="221" t="s">
        <v>194</v>
      </c>
      <c r="C6" s="178">
        <v>1</v>
      </c>
      <c r="D6" s="180" t="s">
        <v>195</v>
      </c>
      <c r="E6" s="178" t="s">
        <v>196</v>
      </c>
      <c r="F6" s="222">
        <v>690000</v>
      </c>
      <c r="G6" s="183">
        <v>524000</v>
      </c>
      <c r="H6" s="183">
        <f t="shared" ref="H6:H37" si="0">F6-G6</f>
        <v>166000</v>
      </c>
      <c r="I6" s="184" t="s">
        <v>237</v>
      </c>
      <c r="J6" s="184" t="s">
        <v>238</v>
      </c>
      <c r="K6" s="184" t="s">
        <v>239</v>
      </c>
      <c r="L6" s="178" t="s">
        <v>240</v>
      </c>
      <c r="M6" s="191">
        <v>243214</v>
      </c>
      <c r="N6" s="223" t="s">
        <v>124</v>
      </c>
      <c r="O6" s="180">
        <v>2566</v>
      </c>
    </row>
    <row r="7" spans="1:15" ht="42.75" customHeight="1" x14ac:dyDescent="0.3">
      <c r="A7" s="178">
        <v>2</v>
      </c>
      <c r="B7" s="224" t="s">
        <v>197</v>
      </c>
      <c r="C7" s="178">
        <v>11</v>
      </c>
      <c r="D7" s="180" t="s">
        <v>130</v>
      </c>
      <c r="E7" s="178"/>
      <c r="F7" s="225">
        <v>131000</v>
      </c>
      <c r="G7" s="226">
        <v>131000</v>
      </c>
      <c r="H7" s="183">
        <f t="shared" si="0"/>
        <v>0</v>
      </c>
      <c r="I7" s="184" t="s">
        <v>241</v>
      </c>
      <c r="J7" s="184" t="s">
        <v>242</v>
      </c>
      <c r="K7" s="184" t="s">
        <v>243</v>
      </c>
      <c r="L7" s="178" t="s">
        <v>244</v>
      </c>
      <c r="M7" s="191">
        <v>243209</v>
      </c>
      <c r="N7" s="223" t="s">
        <v>124</v>
      </c>
      <c r="O7" s="180">
        <v>2566</v>
      </c>
    </row>
    <row r="8" spans="1:15" ht="45" customHeight="1" x14ac:dyDescent="0.3">
      <c r="A8" s="178">
        <v>3</v>
      </c>
      <c r="B8" s="224" t="s">
        <v>198</v>
      </c>
      <c r="C8" s="178">
        <v>3</v>
      </c>
      <c r="D8" s="180" t="s">
        <v>130</v>
      </c>
      <c r="E8" s="178"/>
      <c r="F8" s="225">
        <v>227000</v>
      </c>
      <c r="G8" s="226">
        <v>222000</v>
      </c>
      <c r="H8" s="183">
        <f t="shared" si="0"/>
        <v>5000</v>
      </c>
      <c r="I8" s="184" t="s">
        <v>245</v>
      </c>
      <c r="J8" s="184" t="s">
        <v>246</v>
      </c>
      <c r="K8" s="184" t="s">
        <v>247</v>
      </c>
      <c r="L8" s="178" t="s">
        <v>248</v>
      </c>
      <c r="M8" s="191">
        <v>243182</v>
      </c>
      <c r="N8" s="223" t="s">
        <v>124</v>
      </c>
      <c r="O8" s="180">
        <v>2566</v>
      </c>
    </row>
    <row r="9" spans="1:15" ht="48.75" customHeight="1" x14ac:dyDescent="0.3">
      <c r="A9" s="178">
        <v>4</v>
      </c>
      <c r="B9" s="224" t="s">
        <v>199</v>
      </c>
      <c r="C9" s="178">
        <v>5</v>
      </c>
      <c r="D9" s="180" t="s">
        <v>130</v>
      </c>
      <c r="E9" s="178"/>
      <c r="F9" s="225">
        <v>491000</v>
      </c>
      <c r="G9" s="226">
        <v>490000</v>
      </c>
      <c r="H9" s="183">
        <f t="shared" si="0"/>
        <v>1000</v>
      </c>
      <c r="I9" s="184" t="s">
        <v>245</v>
      </c>
      <c r="J9" s="184" t="s">
        <v>246</v>
      </c>
      <c r="K9" s="184" t="s">
        <v>247</v>
      </c>
      <c r="L9" s="178" t="s">
        <v>248</v>
      </c>
      <c r="M9" s="191">
        <v>243249</v>
      </c>
      <c r="N9" s="223" t="s">
        <v>124</v>
      </c>
      <c r="O9" s="180">
        <v>2566</v>
      </c>
    </row>
    <row r="10" spans="1:15" ht="42" customHeight="1" x14ac:dyDescent="0.3">
      <c r="A10" s="178">
        <v>5</v>
      </c>
      <c r="B10" s="224" t="s">
        <v>200</v>
      </c>
      <c r="C10" s="178">
        <v>7</v>
      </c>
      <c r="D10" s="180" t="s">
        <v>130</v>
      </c>
      <c r="E10" s="178"/>
      <c r="F10" s="225">
        <v>472000</v>
      </c>
      <c r="G10" s="226">
        <v>470000</v>
      </c>
      <c r="H10" s="183">
        <f t="shared" si="0"/>
        <v>2000</v>
      </c>
      <c r="I10" s="184" t="s">
        <v>249</v>
      </c>
      <c r="J10" s="184" t="s">
        <v>242</v>
      </c>
      <c r="K10" s="184" t="s">
        <v>250</v>
      </c>
      <c r="L10" s="178" t="s">
        <v>251</v>
      </c>
      <c r="M10" s="191">
        <v>243182</v>
      </c>
      <c r="N10" s="223" t="s">
        <v>124</v>
      </c>
      <c r="O10" s="180">
        <v>2566</v>
      </c>
    </row>
    <row r="11" spans="1:15" ht="38.25" customHeight="1" x14ac:dyDescent="0.3">
      <c r="A11" s="178">
        <v>6</v>
      </c>
      <c r="B11" s="224" t="s">
        <v>201</v>
      </c>
      <c r="C11" s="178">
        <v>1</v>
      </c>
      <c r="D11" s="180" t="s">
        <v>130</v>
      </c>
      <c r="E11" s="178"/>
      <c r="F11" s="225">
        <v>491000</v>
      </c>
      <c r="G11" s="226">
        <v>485000</v>
      </c>
      <c r="H11" s="183">
        <f t="shared" si="0"/>
        <v>6000</v>
      </c>
      <c r="I11" s="184" t="s">
        <v>252</v>
      </c>
      <c r="J11" s="184" t="s">
        <v>253</v>
      </c>
      <c r="K11" s="184" t="s">
        <v>254</v>
      </c>
      <c r="L11" s="178" t="s">
        <v>123</v>
      </c>
      <c r="M11" s="191">
        <v>243214</v>
      </c>
      <c r="N11" s="223" t="s">
        <v>124</v>
      </c>
      <c r="O11" s="180">
        <v>2566</v>
      </c>
    </row>
    <row r="12" spans="1:15" ht="106.5" customHeight="1" x14ac:dyDescent="0.3">
      <c r="A12" s="178">
        <v>7</v>
      </c>
      <c r="B12" s="224" t="s">
        <v>202</v>
      </c>
      <c r="C12" s="178">
        <v>1</v>
      </c>
      <c r="D12" s="180" t="s">
        <v>130</v>
      </c>
      <c r="E12" s="178"/>
      <c r="F12" s="225">
        <v>134000</v>
      </c>
      <c r="G12" s="226">
        <v>134000</v>
      </c>
      <c r="H12" s="183">
        <f t="shared" si="0"/>
        <v>0</v>
      </c>
      <c r="I12" s="184" t="s">
        <v>255</v>
      </c>
      <c r="J12" s="184" t="s">
        <v>256</v>
      </c>
      <c r="K12" s="184" t="s">
        <v>257</v>
      </c>
      <c r="L12" s="178" t="s">
        <v>251</v>
      </c>
      <c r="M12" s="191">
        <v>243178</v>
      </c>
      <c r="N12" s="223" t="s">
        <v>124</v>
      </c>
      <c r="O12" s="180">
        <v>2566</v>
      </c>
    </row>
    <row r="13" spans="1:15" ht="45" customHeight="1" x14ac:dyDescent="0.3">
      <c r="A13" s="178">
        <v>9</v>
      </c>
      <c r="B13" s="224" t="s">
        <v>203</v>
      </c>
      <c r="C13" s="178">
        <v>9</v>
      </c>
      <c r="D13" s="180" t="s">
        <v>130</v>
      </c>
      <c r="E13" s="178"/>
      <c r="F13" s="227">
        <v>528000</v>
      </c>
      <c r="G13" s="183">
        <v>468000</v>
      </c>
      <c r="H13" s="183">
        <f t="shared" si="0"/>
        <v>60000</v>
      </c>
      <c r="I13" s="184" t="s">
        <v>258</v>
      </c>
      <c r="J13" s="184" t="s">
        <v>259</v>
      </c>
      <c r="K13" s="184" t="s">
        <v>260</v>
      </c>
      <c r="L13" s="178" t="s">
        <v>261</v>
      </c>
      <c r="M13" s="191">
        <v>243421</v>
      </c>
      <c r="N13" s="223" t="s">
        <v>124</v>
      </c>
      <c r="O13" s="180">
        <v>2566</v>
      </c>
    </row>
    <row r="14" spans="1:15" ht="111.75" customHeight="1" x14ac:dyDescent="0.3">
      <c r="A14" s="178">
        <v>10</v>
      </c>
      <c r="B14" s="224" t="s">
        <v>204</v>
      </c>
      <c r="C14" s="178">
        <v>4</v>
      </c>
      <c r="D14" s="180" t="s">
        <v>130</v>
      </c>
      <c r="E14" s="178"/>
      <c r="F14" s="227">
        <v>58000</v>
      </c>
      <c r="G14" s="183">
        <v>57000</v>
      </c>
      <c r="H14" s="183">
        <f t="shared" si="0"/>
        <v>1000</v>
      </c>
      <c r="I14" s="184" t="s">
        <v>262</v>
      </c>
      <c r="J14" s="184" t="s">
        <v>263</v>
      </c>
      <c r="K14" s="184" t="s">
        <v>264</v>
      </c>
      <c r="L14" s="178" t="s">
        <v>265</v>
      </c>
      <c r="M14" s="191">
        <v>243391</v>
      </c>
      <c r="N14" s="223" t="s">
        <v>124</v>
      </c>
      <c r="O14" s="180">
        <v>2566</v>
      </c>
    </row>
    <row r="15" spans="1:15" ht="108" customHeight="1" x14ac:dyDescent="0.3">
      <c r="A15" s="178">
        <v>11</v>
      </c>
      <c r="B15" s="224" t="s">
        <v>205</v>
      </c>
      <c r="C15" s="178">
        <v>17</v>
      </c>
      <c r="D15" s="180" t="s">
        <v>130</v>
      </c>
      <c r="E15" s="178"/>
      <c r="F15" s="227">
        <v>392000</v>
      </c>
      <c r="G15" s="183">
        <v>379000</v>
      </c>
      <c r="H15" s="183">
        <f t="shared" si="0"/>
        <v>13000</v>
      </c>
      <c r="I15" s="184" t="s">
        <v>266</v>
      </c>
      <c r="J15" s="184" t="s">
        <v>267</v>
      </c>
      <c r="K15" s="184" t="s">
        <v>268</v>
      </c>
      <c r="L15" s="178" t="s">
        <v>265</v>
      </c>
      <c r="M15" s="191">
        <v>243388</v>
      </c>
      <c r="N15" s="223" t="s">
        <v>124</v>
      </c>
      <c r="O15" s="180">
        <v>2566</v>
      </c>
    </row>
    <row r="16" spans="1:15" ht="115.5" customHeight="1" x14ac:dyDescent="0.3">
      <c r="A16" s="178">
        <v>15</v>
      </c>
      <c r="B16" s="224" t="s">
        <v>206</v>
      </c>
      <c r="C16" s="178">
        <v>1</v>
      </c>
      <c r="D16" s="180" t="s">
        <v>207</v>
      </c>
      <c r="E16" s="178" t="s">
        <v>208</v>
      </c>
      <c r="F16" s="227">
        <v>551000</v>
      </c>
      <c r="G16" s="228">
        <v>440000</v>
      </c>
      <c r="H16" s="183">
        <f t="shared" si="0"/>
        <v>111000</v>
      </c>
      <c r="I16" s="184" t="s">
        <v>269</v>
      </c>
      <c r="J16" s="184" t="s">
        <v>270</v>
      </c>
      <c r="K16" s="184" t="s">
        <v>271</v>
      </c>
      <c r="L16" s="178" t="s">
        <v>272</v>
      </c>
      <c r="M16" s="191">
        <v>243451</v>
      </c>
      <c r="N16" s="223" t="s">
        <v>124</v>
      </c>
      <c r="O16" s="180">
        <v>2566</v>
      </c>
    </row>
    <row r="17" spans="1:15" ht="124.5" customHeight="1" x14ac:dyDescent="0.3">
      <c r="A17" s="178">
        <v>16</v>
      </c>
      <c r="B17" s="224" t="s">
        <v>209</v>
      </c>
      <c r="C17" s="178">
        <v>19</v>
      </c>
      <c r="D17" s="180" t="s">
        <v>207</v>
      </c>
      <c r="E17" s="178" t="s">
        <v>208</v>
      </c>
      <c r="F17" s="227">
        <v>280000</v>
      </c>
      <c r="G17" s="228">
        <v>278000</v>
      </c>
      <c r="H17" s="183">
        <f t="shared" si="0"/>
        <v>2000</v>
      </c>
      <c r="I17" s="184" t="s">
        <v>273</v>
      </c>
      <c r="J17" s="184" t="s">
        <v>274</v>
      </c>
      <c r="K17" s="184" t="s">
        <v>275</v>
      </c>
      <c r="L17" s="178" t="s">
        <v>276</v>
      </c>
      <c r="M17" s="191">
        <v>243459</v>
      </c>
      <c r="N17" s="223" t="s">
        <v>124</v>
      </c>
      <c r="O17" s="180">
        <v>2566</v>
      </c>
    </row>
    <row r="18" spans="1:15" ht="62.25" customHeight="1" x14ac:dyDescent="0.3">
      <c r="A18" s="178">
        <v>17</v>
      </c>
      <c r="B18" s="224" t="s">
        <v>210</v>
      </c>
      <c r="C18" s="178">
        <v>11</v>
      </c>
      <c r="D18" s="180" t="s">
        <v>207</v>
      </c>
      <c r="E18" s="178" t="s">
        <v>208</v>
      </c>
      <c r="F18" s="227">
        <v>327800</v>
      </c>
      <c r="G18" s="228">
        <v>327000</v>
      </c>
      <c r="H18" s="183">
        <f t="shared" si="0"/>
        <v>800</v>
      </c>
      <c r="I18" s="184" t="s">
        <v>277</v>
      </c>
      <c r="J18" s="184" t="s">
        <v>278</v>
      </c>
      <c r="K18" s="184" t="s">
        <v>279</v>
      </c>
      <c r="L18" s="178" t="s">
        <v>261</v>
      </c>
      <c r="M18" s="191">
        <v>243480</v>
      </c>
      <c r="N18" s="223" t="s">
        <v>124</v>
      </c>
      <c r="O18" s="180">
        <v>2566</v>
      </c>
    </row>
    <row r="19" spans="1:15" ht="109.5" customHeight="1" x14ac:dyDescent="0.3">
      <c r="A19" s="178">
        <v>18</v>
      </c>
      <c r="B19" s="224" t="s">
        <v>211</v>
      </c>
      <c r="C19" s="178">
        <v>6</v>
      </c>
      <c r="D19" s="180" t="s">
        <v>207</v>
      </c>
      <c r="E19" s="178" t="s">
        <v>208</v>
      </c>
      <c r="F19" s="227">
        <v>43400</v>
      </c>
      <c r="G19" s="228">
        <v>42000</v>
      </c>
      <c r="H19" s="183">
        <f t="shared" si="0"/>
        <v>1400</v>
      </c>
      <c r="I19" s="184" t="s">
        <v>280</v>
      </c>
      <c r="J19" s="184" t="s">
        <v>281</v>
      </c>
      <c r="K19" s="184" t="s">
        <v>282</v>
      </c>
      <c r="L19" s="178" t="s">
        <v>265</v>
      </c>
      <c r="M19" s="191">
        <v>243291</v>
      </c>
      <c r="N19" s="223" t="s">
        <v>124</v>
      </c>
      <c r="O19" s="180">
        <v>2566</v>
      </c>
    </row>
    <row r="20" spans="1:15" ht="132.75" customHeight="1" x14ac:dyDescent="0.3">
      <c r="A20" s="178">
        <v>19</v>
      </c>
      <c r="B20" s="224" t="s">
        <v>212</v>
      </c>
      <c r="C20" s="178">
        <v>6</v>
      </c>
      <c r="D20" s="180" t="s">
        <v>207</v>
      </c>
      <c r="E20" s="178" t="s">
        <v>208</v>
      </c>
      <c r="F20" s="227">
        <v>270000</v>
      </c>
      <c r="G20" s="228">
        <v>269000</v>
      </c>
      <c r="H20" s="183">
        <f t="shared" si="0"/>
        <v>1000</v>
      </c>
      <c r="I20" s="184" t="s">
        <v>283</v>
      </c>
      <c r="J20" s="184" t="s">
        <v>281</v>
      </c>
      <c r="K20" s="184" t="s">
        <v>284</v>
      </c>
      <c r="L20" s="178" t="s">
        <v>265</v>
      </c>
      <c r="M20" s="191">
        <v>243291</v>
      </c>
      <c r="N20" s="223" t="s">
        <v>124</v>
      </c>
      <c r="O20" s="180">
        <v>2566</v>
      </c>
    </row>
    <row r="21" spans="1:15" ht="108.75" customHeight="1" x14ac:dyDescent="0.3">
      <c r="A21" s="178">
        <v>21</v>
      </c>
      <c r="B21" s="224" t="s">
        <v>213</v>
      </c>
      <c r="C21" s="178">
        <v>5</v>
      </c>
      <c r="D21" s="180" t="s">
        <v>207</v>
      </c>
      <c r="E21" s="178" t="s">
        <v>208</v>
      </c>
      <c r="F21" s="227">
        <v>413000</v>
      </c>
      <c r="G21" s="228">
        <v>410000</v>
      </c>
      <c r="H21" s="183">
        <f t="shared" si="0"/>
        <v>3000</v>
      </c>
      <c r="I21" s="184" t="s">
        <v>285</v>
      </c>
      <c r="J21" s="184" t="s">
        <v>286</v>
      </c>
      <c r="K21" s="184" t="s">
        <v>287</v>
      </c>
      <c r="L21" s="178" t="s">
        <v>265</v>
      </c>
      <c r="M21" s="191">
        <v>243452</v>
      </c>
      <c r="N21" s="223" t="s">
        <v>124</v>
      </c>
      <c r="O21" s="180">
        <v>2566</v>
      </c>
    </row>
    <row r="22" spans="1:15" ht="57" customHeight="1" x14ac:dyDescent="0.3">
      <c r="A22" s="178">
        <v>23</v>
      </c>
      <c r="B22" s="224" t="s">
        <v>214</v>
      </c>
      <c r="C22" s="178">
        <v>12</v>
      </c>
      <c r="D22" s="180" t="s">
        <v>207</v>
      </c>
      <c r="E22" s="178" t="s">
        <v>208</v>
      </c>
      <c r="F22" s="227">
        <v>83000</v>
      </c>
      <c r="G22" s="228">
        <v>67000</v>
      </c>
      <c r="H22" s="183">
        <f t="shared" si="0"/>
        <v>16000</v>
      </c>
      <c r="I22" s="184" t="s">
        <v>288</v>
      </c>
      <c r="J22" s="184" t="s">
        <v>289</v>
      </c>
      <c r="K22" s="184" t="s">
        <v>290</v>
      </c>
      <c r="L22" s="178" t="s">
        <v>251</v>
      </c>
      <c r="M22" s="191">
        <v>243430</v>
      </c>
      <c r="N22" s="223" t="s">
        <v>124</v>
      </c>
      <c r="O22" s="180">
        <v>2566</v>
      </c>
    </row>
    <row r="23" spans="1:15" ht="51.75" customHeight="1" x14ac:dyDescent="0.3">
      <c r="A23" s="178">
        <v>24</v>
      </c>
      <c r="B23" s="224" t="s">
        <v>215</v>
      </c>
      <c r="C23" s="178">
        <v>1</v>
      </c>
      <c r="D23" s="180" t="s">
        <v>207</v>
      </c>
      <c r="E23" s="178" t="s">
        <v>208</v>
      </c>
      <c r="F23" s="227">
        <v>282000</v>
      </c>
      <c r="G23" s="228">
        <v>280000</v>
      </c>
      <c r="H23" s="183">
        <f t="shared" si="0"/>
        <v>2000</v>
      </c>
      <c r="I23" s="184" t="s">
        <v>291</v>
      </c>
      <c r="J23" s="184" t="s">
        <v>292</v>
      </c>
      <c r="K23" s="184" t="s">
        <v>293</v>
      </c>
      <c r="L23" s="178" t="s">
        <v>251</v>
      </c>
      <c r="M23" s="191">
        <v>243251</v>
      </c>
      <c r="N23" s="223" t="s">
        <v>124</v>
      </c>
      <c r="O23" s="180">
        <v>2566</v>
      </c>
    </row>
    <row r="24" spans="1:15" ht="54.75" customHeight="1" x14ac:dyDescent="0.3">
      <c r="A24" s="178">
        <v>25</v>
      </c>
      <c r="B24" s="224" t="s">
        <v>216</v>
      </c>
      <c r="C24" s="178">
        <v>16</v>
      </c>
      <c r="D24" s="180" t="s">
        <v>217</v>
      </c>
      <c r="E24" s="178"/>
      <c r="F24" s="227">
        <v>352000</v>
      </c>
      <c r="G24" s="228">
        <v>350000</v>
      </c>
      <c r="H24" s="183">
        <f t="shared" si="0"/>
        <v>2000</v>
      </c>
      <c r="I24" s="184" t="s">
        <v>294</v>
      </c>
      <c r="J24" s="184" t="s">
        <v>289</v>
      </c>
      <c r="K24" s="184" t="s">
        <v>295</v>
      </c>
      <c r="L24" s="178" t="s">
        <v>265</v>
      </c>
      <c r="M24" s="191">
        <v>243475</v>
      </c>
      <c r="N24" s="223" t="s">
        <v>124</v>
      </c>
      <c r="O24" s="180">
        <v>2566</v>
      </c>
    </row>
    <row r="25" spans="1:15" ht="125.25" customHeight="1" x14ac:dyDescent="0.3">
      <c r="A25" s="178">
        <v>1</v>
      </c>
      <c r="B25" s="179" t="s">
        <v>218</v>
      </c>
      <c r="C25" s="178">
        <v>1</v>
      </c>
      <c r="D25" s="180" t="s">
        <v>118</v>
      </c>
      <c r="E25" s="178" t="s">
        <v>119</v>
      </c>
      <c r="F25" s="181">
        <v>498200</v>
      </c>
      <c r="G25" s="182">
        <v>490000</v>
      </c>
      <c r="H25" s="183">
        <f t="shared" si="0"/>
        <v>8200</v>
      </c>
      <c r="I25" s="184" t="s">
        <v>296</v>
      </c>
      <c r="J25" s="184" t="s">
        <v>297</v>
      </c>
      <c r="K25" s="184" t="s">
        <v>298</v>
      </c>
      <c r="L25" s="178" t="s">
        <v>265</v>
      </c>
      <c r="M25" s="191">
        <v>243487</v>
      </c>
      <c r="N25" s="223" t="s">
        <v>124</v>
      </c>
      <c r="O25" s="180">
        <v>2566</v>
      </c>
    </row>
    <row r="26" spans="1:15" ht="117.75" customHeight="1" x14ac:dyDescent="0.3">
      <c r="A26" s="178">
        <v>2</v>
      </c>
      <c r="B26" s="179" t="s">
        <v>219</v>
      </c>
      <c r="C26" s="178">
        <v>3</v>
      </c>
      <c r="D26" s="180" t="s">
        <v>118</v>
      </c>
      <c r="E26" s="178" t="s">
        <v>119</v>
      </c>
      <c r="F26" s="181">
        <v>492600</v>
      </c>
      <c r="G26" s="182">
        <v>490000</v>
      </c>
      <c r="H26" s="183">
        <f t="shared" si="0"/>
        <v>2600</v>
      </c>
      <c r="I26" s="184" t="s">
        <v>299</v>
      </c>
      <c r="J26" s="184" t="s">
        <v>289</v>
      </c>
      <c r="K26" s="184" t="s">
        <v>300</v>
      </c>
      <c r="L26" s="178" t="s">
        <v>276</v>
      </c>
      <c r="M26" s="191">
        <v>243468</v>
      </c>
      <c r="N26" s="223" t="s">
        <v>124</v>
      </c>
      <c r="O26" s="180">
        <v>2566</v>
      </c>
    </row>
    <row r="27" spans="1:15" ht="110.25" customHeight="1" x14ac:dyDescent="0.3">
      <c r="A27" s="178">
        <v>3</v>
      </c>
      <c r="B27" s="179" t="s">
        <v>220</v>
      </c>
      <c r="C27" s="178">
        <v>7</v>
      </c>
      <c r="D27" s="180" t="s">
        <v>118</v>
      </c>
      <c r="E27" s="178" t="s">
        <v>119</v>
      </c>
      <c r="F27" s="181">
        <v>488000</v>
      </c>
      <c r="G27" s="182">
        <v>485000</v>
      </c>
      <c r="H27" s="183">
        <f t="shared" si="0"/>
        <v>3000</v>
      </c>
      <c r="I27" s="184" t="s">
        <v>301</v>
      </c>
      <c r="J27" s="184" t="s">
        <v>259</v>
      </c>
      <c r="K27" s="184" t="s">
        <v>302</v>
      </c>
      <c r="L27" s="178" t="s">
        <v>265</v>
      </c>
      <c r="M27" s="191">
        <v>243468</v>
      </c>
      <c r="N27" s="223" t="s">
        <v>124</v>
      </c>
      <c r="O27" s="180">
        <v>2566</v>
      </c>
    </row>
    <row r="28" spans="1:15" ht="122.25" customHeight="1" x14ac:dyDescent="0.3">
      <c r="A28" s="178">
        <v>6</v>
      </c>
      <c r="B28" s="179" t="s">
        <v>221</v>
      </c>
      <c r="C28" s="178">
        <v>11</v>
      </c>
      <c r="D28" s="180" t="s">
        <v>118</v>
      </c>
      <c r="E28" s="178" t="s">
        <v>119</v>
      </c>
      <c r="F28" s="181">
        <v>488000</v>
      </c>
      <c r="G28" s="182">
        <v>485000</v>
      </c>
      <c r="H28" s="183">
        <f t="shared" si="0"/>
        <v>3000</v>
      </c>
      <c r="I28" s="184" t="s">
        <v>285</v>
      </c>
      <c r="J28" s="184" t="s">
        <v>303</v>
      </c>
      <c r="K28" s="184" t="s">
        <v>304</v>
      </c>
      <c r="L28" s="178" t="s">
        <v>251</v>
      </c>
      <c r="M28" s="191">
        <v>243451</v>
      </c>
      <c r="N28" s="223" t="s">
        <v>124</v>
      </c>
      <c r="O28" s="180">
        <v>2566</v>
      </c>
    </row>
    <row r="29" spans="1:15" ht="128.25" customHeight="1" x14ac:dyDescent="0.3">
      <c r="A29" s="178">
        <v>7</v>
      </c>
      <c r="B29" s="179" t="s">
        <v>222</v>
      </c>
      <c r="C29" s="178">
        <v>13</v>
      </c>
      <c r="D29" s="180" t="s">
        <v>118</v>
      </c>
      <c r="E29" s="178" t="s">
        <v>119</v>
      </c>
      <c r="F29" s="181">
        <v>498000</v>
      </c>
      <c r="G29" s="182">
        <v>498000</v>
      </c>
      <c r="H29" s="183">
        <f t="shared" si="0"/>
        <v>0</v>
      </c>
      <c r="I29" s="184" t="s">
        <v>305</v>
      </c>
      <c r="J29" s="184" t="s">
        <v>274</v>
      </c>
      <c r="K29" s="184" t="s">
        <v>306</v>
      </c>
      <c r="L29" s="178" t="s">
        <v>276</v>
      </c>
      <c r="M29" s="191">
        <v>243474</v>
      </c>
      <c r="N29" s="223" t="s">
        <v>124</v>
      </c>
      <c r="O29" s="180">
        <v>2566</v>
      </c>
    </row>
    <row r="30" spans="1:15" ht="110.25" customHeight="1" x14ac:dyDescent="0.3">
      <c r="A30" s="178">
        <v>8</v>
      </c>
      <c r="B30" s="179" t="s">
        <v>223</v>
      </c>
      <c r="C30" s="178">
        <v>16</v>
      </c>
      <c r="D30" s="180" t="s">
        <v>118</v>
      </c>
      <c r="E30" s="178" t="s">
        <v>119</v>
      </c>
      <c r="F30" s="181">
        <v>497400</v>
      </c>
      <c r="G30" s="182">
        <v>490000</v>
      </c>
      <c r="H30" s="183">
        <f t="shared" si="0"/>
        <v>7400</v>
      </c>
      <c r="I30" s="184" t="s">
        <v>307</v>
      </c>
      <c r="J30" s="184" t="s">
        <v>274</v>
      </c>
      <c r="K30" s="184" t="s">
        <v>306</v>
      </c>
      <c r="L30" s="178" t="s">
        <v>276</v>
      </c>
      <c r="M30" s="191">
        <v>243473</v>
      </c>
      <c r="N30" s="223" t="s">
        <v>124</v>
      </c>
      <c r="O30" s="180">
        <v>2566</v>
      </c>
    </row>
    <row r="31" spans="1:15" ht="127.5" customHeight="1" x14ac:dyDescent="0.3">
      <c r="A31" s="178">
        <v>1</v>
      </c>
      <c r="B31" s="179" t="s">
        <v>87</v>
      </c>
      <c r="C31" s="178">
        <v>3</v>
      </c>
      <c r="D31" s="180" t="s">
        <v>146</v>
      </c>
      <c r="E31" s="178"/>
      <c r="F31" s="229">
        <v>139000</v>
      </c>
      <c r="G31" s="182">
        <v>136000</v>
      </c>
      <c r="H31" s="183">
        <f t="shared" si="0"/>
        <v>3000</v>
      </c>
      <c r="I31" s="184" t="s">
        <v>301</v>
      </c>
      <c r="J31" s="184" t="s">
        <v>308</v>
      </c>
      <c r="K31" s="184" t="s">
        <v>309</v>
      </c>
      <c r="L31" s="178" t="s">
        <v>276</v>
      </c>
      <c r="M31" s="191">
        <v>243332</v>
      </c>
      <c r="N31" s="223" t="s">
        <v>124</v>
      </c>
      <c r="O31" s="180">
        <v>2566</v>
      </c>
    </row>
    <row r="32" spans="1:15" ht="126" customHeight="1" x14ac:dyDescent="0.3">
      <c r="A32" s="178">
        <v>2</v>
      </c>
      <c r="B32" s="179" t="s">
        <v>88</v>
      </c>
      <c r="C32" s="178">
        <v>3</v>
      </c>
      <c r="D32" s="180" t="s">
        <v>146</v>
      </c>
      <c r="E32" s="178"/>
      <c r="F32" s="229">
        <v>110000</v>
      </c>
      <c r="G32" s="182">
        <v>108000</v>
      </c>
      <c r="H32" s="183">
        <f t="shared" si="0"/>
        <v>2000</v>
      </c>
      <c r="I32" s="184" t="s">
        <v>310</v>
      </c>
      <c r="J32" s="184" t="s">
        <v>308</v>
      </c>
      <c r="K32" s="184" t="s">
        <v>309</v>
      </c>
      <c r="L32" s="178" t="s">
        <v>276</v>
      </c>
      <c r="M32" s="191">
        <v>243334</v>
      </c>
      <c r="N32" s="223" t="s">
        <v>124</v>
      </c>
      <c r="O32" s="180">
        <v>2566</v>
      </c>
    </row>
    <row r="33" spans="1:15" ht="129.75" customHeight="1" x14ac:dyDescent="0.3">
      <c r="A33" s="178">
        <v>5</v>
      </c>
      <c r="B33" s="179" t="s">
        <v>93</v>
      </c>
      <c r="C33" s="178">
        <v>16</v>
      </c>
      <c r="D33" s="180" t="s">
        <v>146</v>
      </c>
      <c r="E33" s="178"/>
      <c r="F33" s="181">
        <v>397000</v>
      </c>
      <c r="G33" s="182">
        <v>391000</v>
      </c>
      <c r="H33" s="183">
        <f t="shared" si="0"/>
        <v>6000</v>
      </c>
      <c r="I33" s="184" t="s">
        <v>311</v>
      </c>
      <c r="J33" s="184" t="s">
        <v>308</v>
      </c>
      <c r="K33" s="184" t="s">
        <v>312</v>
      </c>
      <c r="L33" s="178" t="s">
        <v>276</v>
      </c>
      <c r="M33" s="191">
        <v>243343</v>
      </c>
      <c r="N33" s="223" t="s">
        <v>124</v>
      </c>
      <c r="O33" s="180">
        <v>2566</v>
      </c>
    </row>
    <row r="34" spans="1:15" ht="129.75" customHeight="1" x14ac:dyDescent="0.3">
      <c r="A34" s="178">
        <v>6</v>
      </c>
      <c r="B34" s="179" t="s">
        <v>92</v>
      </c>
      <c r="C34" s="178">
        <v>17</v>
      </c>
      <c r="D34" s="180" t="s">
        <v>146</v>
      </c>
      <c r="E34" s="178"/>
      <c r="F34" s="181">
        <v>448000</v>
      </c>
      <c r="G34" s="182">
        <v>431000</v>
      </c>
      <c r="H34" s="183">
        <f t="shared" si="0"/>
        <v>17000</v>
      </c>
      <c r="I34" s="184" t="s">
        <v>313</v>
      </c>
      <c r="J34" s="184" t="s">
        <v>314</v>
      </c>
      <c r="K34" s="184" t="s">
        <v>315</v>
      </c>
      <c r="L34" s="178" t="s">
        <v>265</v>
      </c>
      <c r="M34" s="191">
        <v>243291</v>
      </c>
      <c r="N34" s="223" t="s">
        <v>124</v>
      </c>
      <c r="O34" s="180">
        <v>2566</v>
      </c>
    </row>
    <row r="35" spans="1:15" ht="129" customHeight="1" x14ac:dyDescent="0.3">
      <c r="A35" s="178">
        <v>7</v>
      </c>
      <c r="B35" s="179" t="s">
        <v>91</v>
      </c>
      <c r="C35" s="178">
        <v>8</v>
      </c>
      <c r="D35" s="180" t="s">
        <v>146</v>
      </c>
      <c r="E35" s="178"/>
      <c r="F35" s="181">
        <v>396000</v>
      </c>
      <c r="G35" s="182">
        <v>391000</v>
      </c>
      <c r="H35" s="183">
        <f t="shared" si="0"/>
        <v>5000</v>
      </c>
      <c r="I35" s="184" t="s">
        <v>316</v>
      </c>
      <c r="J35" s="184" t="s">
        <v>278</v>
      </c>
      <c r="K35" s="184" t="s">
        <v>317</v>
      </c>
      <c r="L35" s="178" t="s">
        <v>318</v>
      </c>
      <c r="M35" s="191">
        <v>243480</v>
      </c>
      <c r="N35" s="223" t="s">
        <v>124</v>
      </c>
      <c r="O35" s="180">
        <v>2566</v>
      </c>
    </row>
    <row r="36" spans="1:15" ht="111" customHeight="1" x14ac:dyDescent="0.3">
      <c r="A36" s="178">
        <v>8</v>
      </c>
      <c r="B36" s="179" t="s">
        <v>89</v>
      </c>
      <c r="C36" s="178">
        <v>5</v>
      </c>
      <c r="D36" s="180" t="s">
        <v>146</v>
      </c>
      <c r="E36" s="178"/>
      <c r="F36" s="181">
        <v>227000</v>
      </c>
      <c r="G36" s="182">
        <v>225000</v>
      </c>
      <c r="H36" s="183">
        <f t="shared" si="0"/>
        <v>2000</v>
      </c>
      <c r="I36" s="184" t="s">
        <v>319</v>
      </c>
      <c r="J36" s="184" t="s">
        <v>278</v>
      </c>
      <c r="K36" s="184" t="s">
        <v>279</v>
      </c>
      <c r="L36" s="178" t="s">
        <v>318</v>
      </c>
      <c r="M36" s="191">
        <v>243480</v>
      </c>
      <c r="N36" s="223" t="s">
        <v>124</v>
      </c>
      <c r="O36" s="180">
        <v>2566</v>
      </c>
    </row>
    <row r="37" spans="1:15" ht="94.5" customHeight="1" x14ac:dyDescent="0.3">
      <c r="A37" s="178">
        <v>9</v>
      </c>
      <c r="B37" s="179" t="s">
        <v>90</v>
      </c>
      <c r="C37" s="178">
        <v>6</v>
      </c>
      <c r="D37" s="180" t="s">
        <v>146</v>
      </c>
      <c r="E37" s="178"/>
      <c r="F37" s="181">
        <v>40000</v>
      </c>
      <c r="G37" s="182">
        <v>40000</v>
      </c>
      <c r="H37" s="183">
        <f t="shared" si="0"/>
        <v>0</v>
      </c>
      <c r="I37" s="184" t="s">
        <v>320</v>
      </c>
      <c r="J37" s="184" t="s">
        <v>278</v>
      </c>
      <c r="K37" s="184" t="s">
        <v>317</v>
      </c>
      <c r="L37" s="178" t="s">
        <v>318</v>
      </c>
      <c r="M37" s="191">
        <v>243490</v>
      </c>
      <c r="N37" s="223" t="s">
        <v>124</v>
      </c>
      <c r="O37" s="180">
        <v>2566</v>
      </c>
    </row>
  </sheetData>
  <mergeCells count="2">
    <mergeCell ref="A2:O2"/>
    <mergeCell ref="A3:O3"/>
  </mergeCells>
  <pageMargins left="0.39370078740157483" right="0.39370078740157483" top="0.74803149606299213" bottom="0.74803149606299213" header="0.31496062992125984" footer="0.31496062992125984"/>
  <pageSetup paperSize="9" scale="83" firstPageNumber="45" orientation="landscape" useFirstPageNumber="1" r:id="rId1"/>
  <headerFooter>
    <oddHeader>&amp;R&amp;P</oddHeader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topLeftCell="A37" zoomScale="130" zoomScaleNormal="100" zoomScaleSheetLayoutView="130" workbookViewId="0">
      <selection activeCell="B37" sqref="B37"/>
    </sheetView>
  </sheetViews>
  <sheetFormatPr defaultColWidth="6.77734375" defaultRowHeight="15.75" x14ac:dyDescent="0.3"/>
  <cols>
    <col min="1" max="1" width="4.44140625" style="198" customWidth="1"/>
    <col min="2" max="2" width="32.21875" style="202" customWidth="1"/>
    <col min="3" max="3" width="4.21875" style="198" customWidth="1"/>
    <col min="4" max="4" width="7.21875" style="198" customWidth="1"/>
    <col min="5" max="5" width="5.77734375" style="198" customWidth="1"/>
    <col min="6" max="6" width="7.44140625" style="203" customWidth="1"/>
    <col min="7" max="7" width="9.44140625" style="204" customWidth="1"/>
    <col min="8" max="8" width="8.44140625" style="205" customWidth="1"/>
    <col min="9" max="9" width="7.109375" style="206" customWidth="1"/>
    <col min="10" max="10" width="9.33203125" style="206" customWidth="1"/>
    <col min="11" max="11" width="8.44140625" style="206" customWidth="1"/>
    <col min="12" max="12" width="8.6640625" style="198" customWidth="1"/>
    <col min="13" max="13" width="7.21875" style="198" customWidth="1"/>
    <col min="14" max="14" width="3.77734375" style="198" customWidth="1"/>
    <col min="15" max="15" width="5.109375" style="198" customWidth="1"/>
    <col min="16" max="16384" width="6.77734375" style="193"/>
  </cols>
  <sheetData>
    <row r="1" spans="1:15" s="172" customFormat="1" ht="23.25" customHeight="1" x14ac:dyDescent="0.3">
      <c r="A1" s="384" t="s">
        <v>324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72" customFormat="1" ht="23.25" customHeight="1" x14ac:dyDescent="0.3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5" s="177" customFormat="1" ht="38.25" customHeight="1" x14ac:dyDescent="0.3">
      <c r="A3" s="173" t="s">
        <v>102</v>
      </c>
      <c r="B3" s="173" t="s">
        <v>103</v>
      </c>
      <c r="C3" s="173" t="s">
        <v>104</v>
      </c>
      <c r="D3" s="173" t="s">
        <v>105</v>
      </c>
      <c r="E3" s="173" t="s">
        <v>106</v>
      </c>
      <c r="F3" s="174" t="s">
        <v>107</v>
      </c>
      <c r="G3" s="175" t="s">
        <v>108</v>
      </c>
      <c r="H3" s="175" t="s">
        <v>109</v>
      </c>
      <c r="I3" s="176" t="s">
        <v>110</v>
      </c>
      <c r="J3" s="176" t="s">
        <v>111</v>
      </c>
      <c r="K3" s="176" t="s">
        <v>112</v>
      </c>
      <c r="L3" s="173" t="s">
        <v>113</v>
      </c>
      <c r="M3" s="173" t="s">
        <v>114</v>
      </c>
      <c r="N3" s="173" t="s">
        <v>115</v>
      </c>
      <c r="O3" s="173" t="s">
        <v>116</v>
      </c>
    </row>
    <row r="4" spans="1:15" s="186" customFormat="1" ht="38.25" customHeight="1" x14ac:dyDescent="0.3">
      <c r="A4" s="178">
        <v>1</v>
      </c>
      <c r="B4" s="179" t="s">
        <v>117</v>
      </c>
      <c r="C4" s="178">
        <v>10</v>
      </c>
      <c r="D4" s="180" t="s">
        <v>118</v>
      </c>
      <c r="E4" s="178" t="s">
        <v>119</v>
      </c>
      <c r="F4" s="181">
        <v>498800</v>
      </c>
      <c r="G4" s="182">
        <v>452000</v>
      </c>
      <c r="H4" s="183">
        <f>F4-G4</f>
        <v>46800</v>
      </c>
      <c r="I4" s="184" t="s">
        <v>120</v>
      </c>
      <c r="J4" s="184" t="s">
        <v>121</v>
      </c>
      <c r="K4" s="184" t="s">
        <v>122</v>
      </c>
      <c r="L4" s="178" t="s">
        <v>123</v>
      </c>
      <c r="M4" s="180"/>
      <c r="N4" s="185" t="s">
        <v>124</v>
      </c>
      <c r="O4" s="180">
        <v>2567</v>
      </c>
    </row>
    <row r="5" spans="1:15" s="186" customFormat="1" ht="38.25" customHeight="1" x14ac:dyDescent="0.3">
      <c r="A5" s="178">
        <v>2</v>
      </c>
      <c r="B5" s="179" t="s">
        <v>125</v>
      </c>
      <c r="C5" s="178">
        <v>20</v>
      </c>
      <c r="D5" s="180" t="s">
        <v>118</v>
      </c>
      <c r="E5" s="178" t="s">
        <v>119</v>
      </c>
      <c r="F5" s="181">
        <v>376400</v>
      </c>
      <c r="G5" s="182">
        <v>355000</v>
      </c>
      <c r="H5" s="183">
        <f>F5-G5</f>
        <v>21400</v>
      </c>
      <c r="I5" s="184" t="s">
        <v>126</v>
      </c>
      <c r="J5" s="184" t="s">
        <v>127</v>
      </c>
      <c r="K5" s="184" t="s">
        <v>128</v>
      </c>
      <c r="L5" s="178" t="s">
        <v>123</v>
      </c>
      <c r="M5" s="180"/>
      <c r="N5" s="185" t="s">
        <v>124</v>
      </c>
      <c r="O5" s="180">
        <v>2567</v>
      </c>
    </row>
    <row r="6" spans="1:15" ht="66.75" customHeight="1" x14ac:dyDescent="0.3">
      <c r="A6" s="180">
        <v>1</v>
      </c>
      <c r="B6" s="187" t="s">
        <v>129</v>
      </c>
      <c r="C6" s="180">
        <v>4</v>
      </c>
      <c r="D6" s="180" t="s">
        <v>130</v>
      </c>
      <c r="E6" s="180"/>
      <c r="F6" s="188">
        <v>329000</v>
      </c>
      <c r="G6" s="189"/>
      <c r="H6" s="189">
        <f>F6-G6</f>
        <v>329000</v>
      </c>
      <c r="I6" s="190"/>
      <c r="J6" s="190"/>
      <c r="K6" s="190"/>
      <c r="L6" s="180"/>
      <c r="M6" s="191"/>
      <c r="N6" s="192"/>
      <c r="O6" s="180"/>
    </row>
    <row r="7" spans="1:15" ht="69" customHeight="1" x14ac:dyDescent="0.3">
      <c r="A7" s="180">
        <v>2</v>
      </c>
      <c r="B7" s="187" t="s">
        <v>131</v>
      </c>
      <c r="C7" s="180">
        <v>12</v>
      </c>
      <c r="D7" s="180" t="s">
        <v>130</v>
      </c>
      <c r="E7" s="180"/>
      <c r="F7" s="188">
        <v>348600</v>
      </c>
      <c r="G7" s="189">
        <v>336000</v>
      </c>
      <c r="H7" s="189">
        <f t="shared" ref="H7:H47" si="0">F7-G7</f>
        <v>12600</v>
      </c>
      <c r="I7" s="190" t="s">
        <v>132</v>
      </c>
      <c r="J7" s="190" t="s">
        <v>133</v>
      </c>
      <c r="K7" s="190" t="s">
        <v>134</v>
      </c>
      <c r="L7" s="180" t="s">
        <v>123</v>
      </c>
      <c r="M7" s="180"/>
      <c r="N7" s="180"/>
      <c r="O7" s="180"/>
    </row>
    <row r="8" spans="1:15" ht="68.25" customHeight="1" x14ac:dyDescent="0.3">
      <c r="A8" s="180">
        <v>3</v>
      </c>
      <c r="B8" s="187" t="s">
        <v>135</v>
      </c>
      <c r="C8" s="180">
        <v>16</v>
      </c>
      <c r="D8" s="180" t="s">
        <v>130</v>
      </c>
      <c r="E8" s="180"/>
      <c r="F8" s="188">
        <v>393600</v>
      </c>
      <c r="G8" s="189">
        <v>375000</v>
      </c>
      <c r="H8" s="189">
        <f t="shared" si="0"/>
        <v>18600</v>
      </c>
      <c r="I8" s="190" t="s">
        <v>136</v>
      </c>
      <c r="J8" s="190" t="s">
        <v>133</v>
      </c>
      <c r="K8" s="190" t="s">
        <v>134</v>
      </c>
      <c r="L8" s="180" t="s">
        <v>123</v>
      </c>
      <c r="M8" s="180"/>
      <c r="N8" s="180"/>
      <c r="O8" s="180"/>
    </row>
    <row r="9" spans="1:15" ht="60" customHeight="1" x14ac:dyDescent="0.3">
      <c r="A9" s="180">
        <v>4</v>
      </c>
      <c r="B9" s="187" t="s">
        <v>137</v>
      </c>
      <c r="C9" s="180">
        <v>15</v>
      </c>
      <c r="D9" s="180" t="s">
        <v>130</v>
      </c>
      <c r="E9" s="180"/>
      <c r="F9" s="188">
        <v>224700</v>
      </c>
      <c r="G9" s="189">
        <v>224000</v>
      </c>
      <c r="H9" s="189">
        <f t="shared" si="0"/>
        <v>700</v>
      </c>
      <c r="I9" s="190" t="s">
        <v>138</v>
      </c>
      <c r="J9" s="190" t="s">
        <v>133</v>
      </c>
      <c r="K9" s="190" t="s">
        <v>134</v>
      </c>
      <c r="L9" s="180" t="s">
        <v>123</v>
      </c>
      <c r="M9" s="180"/>
      <c r="N9" s="180"/>
      <c r="O9" s="180"/>
    </row>
    <row r="10" spans="1:15" ht="72" customHeight="1" x14ac:dyDescent="0.3">
      <c r="A10" s="180">
        <v>5</v>
      </c>
      <c r="B10" s="187" t="s">
        <v>139</v>
      </c>
      <c r="C10" s="180">
        <v>7</v>
      </c>
      <c r="D10" s="180" t="s">
        <v>130</v>
      </c>
      <c r="E10" s="180"/>
      <c r="F10" s="188">
        <v>385000</v>
      </c>
      <c r="G10" s="189"/>
      <c r="H10" s="189">
        <f t="shared" si="0"/>
        <v>385000</v>
      </c>
      <c r="I10" s="190"/>
      <c r="J10" s="190"/>
      <c r="K10" s="190"/>
      <c r="L10" s="180"/>
      <c r="M10" s="180"/>
      <c r="N10" s="180"/>
      <c r="O10" s="180"/>
    </row>
    <row r="11" spans="1:15" ht="60" customHeight="1" x14ac:dyDescent="0.3">
      <c r="A11" s="180">
        <v>6</v>
      </c>
      <c r="B11" s="187" t="s">
        <v>140</v>
      </c>
      <c r="C11" s="180">
        <v>4</v>
      </c>
      <c r="D11" s="180" t="s">
        <v>130</v>
      </c>
      <c r="E11" s="180"/>
      <c r="F11" s="194">
        <v>728000</v>
      </c>
      <c r="G11" s="189"/>
      <c r="H11" s="189">
        <f t="shared" si="0"/>
        <v>728000</v>
      </c>
      <c r="I11" s="190"/>
      <c r="J11" s="190"/>
      <c r="K11" s="190"/>
      <c r="L11" s="180"/>
      <c r="M11" s="180"/>
      <c r="N11" s="180"/>
      <c r="O11" s="180"/>
    </row>
    <row r="12" spans="1:15" ht="70.5" customHeight="1" x14ac:dyDescent="0.3">
      <c r="A12" s="180">
        <v>7</v>
      </c>
      <c r="B12" s="187" t="s">
        <v>141</v>
      </c>
      <c r="C12" s="180">
        <v>7</v>
      </c>
      <c r="D12" s="180" t="s">
        <v>130</v>
      </c>
      <c r="E12" s="180"/>
      <c r="F12" s="194">
        <v>477000</v>
      </c>
      <c r="G12" s="189">
        <v>468000</v>
      </c>
      <c r="H12" s="189">
        <f t="shared" si="0"/>
        <v>9000</v>
      </c>
      <c r="I12" s="190" t="s">
        <v>142</v>
      </c>
      <c r="J12" s="190" t="s">
        <v>143</v>
      </c>
      <c r="K12" s="190" t="s">
        <v>144</v>
      </c>
      <c r="L12" s="180" t="s">
        <v>145</v>
      </c>
      <c r="M12" s="180"/>
      <c r="N12" s="180"/>
      <c r="O12" s="180"/>
    </row>
    <row r="13" spans="1:15" ht="68.25" customHeight="1" x14ac:dyDescent="0.3">
      <c r="A13" s="180">
        <v>1</v>
      </c>
      <c r="B13" s="195" t="s">
        <v>94</v>
      </c>
      <c r="C13" s="180">
        <v>7</v>
      </c>
      <c r="D13" s="180" t="s">
        <v>146</v>
      </c>
      <c r="E13" s="180"/>
      <c r="F13" s="196">
        <v>448000</v>
      </c>
      <c r="G13" s="189"/>
      <c r="H13" s="189">
        <f t="shared" si="0"/>
        <v>448000</v>
      </c>
      <c r="I13" s="190"/>
      <c r="J13" s="190"/>
      <c r="K13" s="190"/>
      <c r="L13" s="180"/>
      <c r="M13" s="180"/>
      <c r="N13" s="180"/>
      <c r="O13" s="180"/>
    </row>
    <row r="14" spans="1:15" ht="77.25" customHeight="1" x14ac:dyDescent="0.3">
      <c r="A14" s="180">
        <v>2</v>
      </c>
      <c r="B14" s="195" t="s">
        <v>96</v>
      </c>
      <c r="C14" s="180">
        <v>1</v>
      </c>
      <c r="D14" s="180" t="s">
        <v>146</v>
      </c>
      <c r="E14" s="180"/>
      <c r="F14" s="196">
        <v>449000</v>
      </c>
      <c r="G14" s="189"/>
      <c r="H14" s="189">
        <f t="shared" si="0"/>
        <v>449000</v>
      </c>
      <c r="I14" s="190"/>
      <c r="J14" s="190"/>
      <c r="K14" s="190"/>
      <c r="L14" s="180"/>
      <c r="M14" s="180"/>
      <c r="N14" s="180"/>
      <c r="O14" s="180"/>
    </row>
    <row r="15" spans="1:15" ht="79.5" customHeight="1" x14ac:dyDescent="0.3">
      <c r="A15" s="180">
        <v>3</v>
      </c>
      <c r="B15" s="195" t="s">
        <v>98</v>
      </c>
      <c r="C15" s="180">
        <v>12</v>
      </c>
      <c r="D15" s="180" t="s">
        <v>146</v>
      </c>
      <c r="E15" s="180"/>
      <c r="F15" s="196">
        <v>350000</v>
      </c>
      <c r="G15" s="189"/>
      <c r="H15" s="189">
        <f t="shared" si="0"/>
        <v>350000</v>
      </c>
      <c r="I15" s="190"/>
      <c r="J15" s="190"/>
      <c r="K15" s="190"/>
      <c r="L15" s="180"/>
      <c r="M15" s="180"/>
      <c r="N15" s="180"/>
      <c r="O15" s="180"/>
    </row>
    <row r="16" spans="1:15" ht="68.25" customHeight="1" x14ac:dyDescent="0.3">
      <c r="A16" s="180">
        <v>4</v>
      </c>
      <c r="B16" s="195" t="s">
        <v>99</v>
      </c>
      <c r="C16" s="180">
        <v>13</v>
      </c>
      <c r="D16" s="180" t="s">
        <v>146</v>
      </c>
      <c r="E16" s="180"/>
      <c r="F16" s="196">
        <v>498000</v>
      </c>
      <c r="G16" s="189"/>
      <c r="H16" s="189">
        <f t="shared" si="0"/>
        <v>498000</v>
      </c>
      <c r="I16" s="190"/>
      <c r="J16" s="190"/>
      <c r="K16" s="190"/>
      <c r="L16" s="180"/>
      <c r="M16" s="180"/>
      <c r="N16" s="180"/>
      <c r="O16" s="180"/>
    </row>
    <row r="17" spans="1:16" ht="81.75" customHeight="1" x14ac:dyDescent="0.3">
      <c r="A17" s="180">
        <v>5</v>
      </c>
      <c r="B17" s="195" t="s">
        <v>97</v>
      </c>
      <c r="C17" s="180">
        <v>2</v>
      </c>
      <c r="D17" s="180" t="s">
        <v>146</v>
      </c>
      <c r="E17" s="180"/>
      <c r="F17" s="196">
        <v>228000</v>
      </c>
      <c r="G17" s="189"/>
      <c r="H17" s="189">
        <f t="shared" si="0"/>
        <v>228000</v>
      </c>
      <c r="I17" s="190"/>
      <c r="J17" s="190"/>
      <c r="K17" s="190"/>
      <c r="L17" s="180"/>
      <c r="M17" s="180"/>
      <c r="N17" s="180"/>
      <c r="O17" s="180"/>
    </row>
    <row r="18" spans="1:16" ht="72" customHeight="1" x14ac:dyDescent="0.3">
      <c r="A18" s="180">
        <v>6</v>
      </c>
      <c r="B18" s="195" t="s">
        <v>100</v>
      </c>
      <c r="C18" s="180">
        <v>15</v>
      </c>
      <c r="D18" s="180" t="s">
        <v>147</v>
      </c>
      <c r="E18" s="180"/>
      <c r="F18" s="196">
        <v>498000</v>
      </c>
      <c r="G18" s="189"/>
      <c r="H18" s="189">
        <f t="shared" si="0"/>
        <v>498000</v>
      </c>
      <c r="I18" s="190"/>
      <c r="J18" s="190"/>
      <c r="K18" s="190"/>
      <c r="L18" s="180"/>
      <c r="M18" s="180"/>
      <c r="N18" s="180"/>
      <c r="O18" s="180"/>
    </row>
    <row r="19" spans="1:16" ht="86.25" customHeight="1" x14ac:dyDescent="0.3">
      <c r="A19" s="180">
        <v>7</v>
      </c>
      <c r="B19" s="195" t="s">
        <v>101</v>
      </c>
      <c r="C19" s="180">
        <v>18</v>
      </c>
      <c r="D19" s="180" t="s">
        <v>147</v>
      </c>
      <c r="E19" s="180"/>
      <c r="F19" s="196">
        <v>410000</v>
      </c>
      <c r="G19" s="189"/>
      <c r="H19" s="189">
        <f t="shared" si="0"/>
        <v>410000</v>
      </c>
      <c r="I19" s="190"/>
      <c r="J19" s="190"/>
      <c r="K19" s="190"/>
      <c r="L19" s="180"/>
      <c r="M19" s="180"/>
      <c r="N19" s="180"/>
      <c r="O19" s="180"/>
    </row>
    <row r="20" spans="1:16" ht="66" customHeight="1" x14ac:dyDescent="0.3">
      <c r="A20" s="180">
        <v>1</v>
      </c>
      <c r="B20" s="195" t="s">
        <v>148</v>
      </c>
      <c r="C20" s="197">
        <v>18</v>
      </c>
      <c r="D20" s="197" t="s">
        <v>149</v>
      </c>
      <c r="E20" s="197"/>
      <c r="F20" s="196">
        <v>1469000</v>
      </c>
      <c r="G20" s="196">
        <v>1059000</v>
      </c>
      <c r="H20" s="189">
        <f t="shared" si="0"/>
        <v>410000</v>
      </c>
      <c r="I20" s="190" t="s">
        <v>150</v>
      </c>
      <c r="J20" s="190" t="s">
        <v>151</v>
      </c>
      <c r="K20" s="190" t="s">
        <v>152</v>
      </c>
      <c r="L20" s="180" t="s">
        <v>153</v>
      </c>
      <c r="M20" s="180"/>
      <c r="N20" s="180"/>
      <c r="O20" s="180"/>
      <c r="P20" s="198"/>
    </row>
    <row r="21" spans="1:16" ht="62.25" customHeight="1" x14ac:dyDescent="0.3">
      <c r="A21" s="180">
        <v>2</v>
      </c>
      <c r="B21" s="195" t="s">
        <v>154</v>
      </c>
      <c r="C21" s="197">
        <v>8</v>
      </c>
      <c r="D21" s="197" t="s">
        <v>149</v>
      </c>
      <c r="E21" s="197"/>
      <c r="F21" s="196">
        <v>1532000</v>
      </c>
      <c r="G21" s="196">
        <v>1088000</v>
      </c>
      <c r="H21" s="189">
        <f t="shared" si="0"/>
        <v>444000</v>
      </c>
      <c r="I21" s="190" t="s">
        <v>155</v>
      </c>
      <c r="J21" s="190" t="s">
        <v>151</v>
      </c>
      <c r="K21" s="190" t="s">
        <v>152</v>
      </c>
      <c r="L21" s="180" t="s">
        <v>153</v>
      </c>
      <c r="M21" s="180"/>
      <c r="N21" s="180"/>
      <c r="O21" s="180"/>
      <c r="P21" s="198"/>
    </row>
    <row r="22" spans="1:16" ht="77.25" customHeight="1" x14ac:dyDescent="0.3">
      <c r="A22" s="180">
        <v>3</v>
      </c>
      <c r="B22" s="195" t="s">
        <v>156</v>
      </c>
      <c r="C22" s="197">
        <v>6</v>
      </c>
      <c r="D22" s="197" t="s">
        <v>149</v>
      </c>
      <c r="E22" s="197"/>
      <c r="F22" s="196">
        <v>716000</v>
      </c>
      <c r="G22" s="196">
        <v>630000</v>
      </c>
      <c r="H22" s="189">
        <f t="shared" si="0"/>
        <v>86000</v>
      </c>
      <c r="I22" s="190" t="s">
        <v>157</v>
      </c>
      <c r="J22" s="190" t="s">
        <v>158</v>
      </c>
      <c r="K22" s="190" t="s">
        <v>159</v>
      </c>
      <c r="L22" s="180" t="s">
        <v>160</v>
      </c>
      <c r="M22" s="180"/>
      <c r="N22" s="180"/>
      <c r="O22" s="180"/>
      <c r="P22" s="198"/>
    </row>
    <row r="23" spans="1:16" ht="77.25" customHeight="1" x14ac:dyDescent="0.3">
      <c r="A23" s="180">
        <v>4</v>
      </c>
      <c r="B23" s="195" t="s">
        <v>161</v>
      </c>
      <c r="C23" s="197">
        <v>14</v>
      </c>
      <c r="D23" s="197" t="s">
        <v>149</v>
      </c>
      <c r="E23" s="197"/>
      <c r="F23" s="196">
        <v>1917000</v>
      </c>
      <c r="G23" s="196">
        <v>1069000</v>
      </c>
      <c r="H23" s="189">
        <f t="shared" si="0"/>
        <v>848000</v>
      </c>
      <c r="I23" s="190" t="s">
        <v>162</v>
      </c>
      <c r="J23" s="190" t="s">
        <v>163</v>
      </c>
      <c r="K23" s="190" t="s">
        <v>164</v>
      </c>
      <c r="L23" s="180" t="s">
        <v>165</v>
      </c>
      <c r="M23" s="180"/>
      <c r="N23" s="180"/>
      <c r="O23" s="180"/>
      <c r="P23" s="198"/>
    </row>
    <row r="24" spans="1:16" ht="77.25" customHeight="1" x14ac:dyDescent="0.3">
      <c r="A24" s="180">
        <v>5</v>
      </c>
      <c r="B24" s="195" t="s">
        <v>166</v>
      </c>
      <c r="C24" s="197">
        <v>3</v>
      </c>
      <c r="D24" s="197" t="s">
        <v>149</v>
      </c>
      <c r="E24" s="197"/>
      <c r="F24" s="196">
        <v>627000</v>
      </c>
      <c r="G24" s="196"/>
      <c r="H24" s="189">
        <f t="shared" si="0"/>
        <v>627000</v>
      </c>
      <c r="I24" s="190"/>
      <c r="J24" s="190"/>
      <c r="K24" s="190"/>
      <c r="L24" s="180"/>
      <c r="M24" s="180"/>
      <c r="N24" s="180"/>
      <c r="O24" s="180"/>
      <c r="P24" s="198"/>
    </row>
    <row r="25" spans="1:16" ht="77.25" customHeight="1" x14ac:dyDescent="0.3">
      <c r="A25" s="180">
        <v>6</v>
      </c>
      <c r="B25" s="195" t="s">
        <v>167</v>
      </c>
      <c r="C25" s="197">
        <v>10</v>
      </c>
      <c r="D25" s="197" t="s">
        <v>149</v>
      </c>
      <c r="E25" s="197"/>
      <c r="F25" s="196">
        <v>1834700</v>
      </c>
      <c r="G25" s="196">
        <v>1700000</v>
      </c>
      <c r="H25" s="189">
        <f t="shared" si="0"/>
        <v>134700</v>
      </c>
      <c r="I25" s="190" t="s">
        <v>168</v>
      </c>
      <c r="J25" s="190" t="s">
        <v>169</v>
      </c>
      <c r="K25" s="190" t="s">
        <v>170</v>
      </c>
      <c r="L25" s="180" t="s">
        <v>171</v>
      </c>
      <c r="M25" s="180"/>
      <c r="N25" s="180"/>
      <c r="O25" s="180"/>
      <c r="P25" s="198"/>
    </row>
    <row r="26" spans="1:16" ht="77.25" customHeight="1" x14ac:dyDescent="0.3">
      <c r="A26" s="180">
        <v>1</v>
      </c>
      <c r="B26" s="199" t="s">
        <v>172</v>
      </c>
      <c r="C26" s="200">
        <v>2</v>
      </c>
      <c r="D26" s="180" t="s">
        <v>173</v>
      </c>
      <c r="E26" s="180"/>
      <c r="F26" s="201">
        <v>100400</v>
      </c>
      <c r="G26" s="189"/>
      <c r="H26" s="189">
        <f t="shared" si="0"/>
        <v>100400</v>
      </c>
      <c r="I26" s="190"/>
      <c r="J26" s="190"/>
      <c r="K26" s="190"/>
      <c r="L26" s="180"/>
      <c r="M26" s="180"/>
      <c r="N26" s="180"/>
      <c r="O26" s="180"/>
    </row>
    <row r="27" spans="1:16" ht="77.25" customHeight="1" x14ac:dyDescent="0.3">
      <c r="A27" s="180">
        <v>2</v>
      </c>
      <c r="B27" s="199" t="s">
        <v>174</v>
      </c>
      <c r="C27" s="200">
        <v>3</v>
      </c>
      <c r="D27" s="180" t="s">
        <v>173</v>
      </c>
      <c r="E27" s="180"/>
      <c r="F27" s="201">
        <v>108200</v>
      </c>
      <c r="G27" s="189"/>
      <c r="H27" s="189">
        <f t="shared" si="0"/>
        <v>108200</v>
      </c>
      <c r="I27" s="190"/>
      <c r="J27" s="190"/>
      <c r="K27" s="190"/>
      <c r="L27" s="180"/>
      <c r="M27" s="180"/>
      <c r="N27" s="180"/>
      <c r="O27" s="180"/>
    </row>
    <row r="28" spans="1:16" ht="77.25" customHeight="1" x14ac:dyDescent="0.3">
      <c r="A28" s="180">
        <v>3</v>
      </c>
      <c r="B28" s="199" t="s">
        <v>175</v>
      </c>
      <c r="C28" s="200">
        <v>1</v>
      </c>
      <c r="D28" s="180" t="s">
        <v>173</v>
      </c>
      <c r="E28" s="180"/>
      <c r="F28" s="201">
        <v>399200</v>
      </c>
      <c r="G28" s="189"/>
      <c r="H28" s="189">
        <f t="shared" si="0"/>
        <v>399200</v>
      </c>
      <c r="I28" s="190"/>
      <c r="J28" s="190"/>
      <c r="K28" s="190"/>
      <c r="L28" s="180"/>
      <c r="M28" s="180"/>
      <c r="N28" s="180"/>
      <c r="O28" s="180"/>
    </row>
    <row r="29" spans="1:16" ht="77.25" customHeight="1" x14ac:dyDescent="0.3">
      <c r="A29" s="180">
        <v>4</v>
      </c>
      <c r="B29" s="199" t="s">
        <v>176</v>
      </c>
      <c r="C29" s="200">
        <v>20</v>
      </c>
      <c r="D29" s="180" t="s">
        <v>173</v>
      </c>
      <c r="E29" s="180"/>
      <c r="F29" s="201">
        <v>399200</v>
      </c>
      <c r="G29" s="189"/>
      <c r="H29" s="189">
        <f t="shared" si="0"/>
        <v>399200</v>
      </c>
      <c r="I29" s="190"/>
      <c r="J29" s="190"/>
      <c r="K29" s="190"/>
      <c r="L29" s="180"/>
      <c r="M29" s="180"/>
      <c r="N29" s="180"/>
      <c r="O29" s="180"/>
    </row>
    <row r="30" spans="1:16" ht="77.25" customHeight="1" x14ac:dyDescent="0.3">
      <c r="A30" s="180">
        <v>5</v>
      </c>
      <c r="B30" s="199" t="s">
        <v>177</v>
      </c>
      <c r="C30" s="200">
        <v>18</v>
      </c>
      <c r="D30" s="180" t="s">
        <v>173</v>
      </c>
      <c r="E30" s="180"/>
      <c r="F30" s="201">
        <v>361800</v>
      </c>
      <c r="G30" s="189"/>
      <c r="H30" s="189">
        <f t="shared" si="0"/>
        <v>361800</v>
      </c>
      <c r="I30" s="190"/>
      <c r="J30" s="190"/>
      <c r="K30" s="190"/>
      <c r="L30" s="180"/>
      <c r="M30" s="180"/>
      <c r="N30" s="180"/>
      <c r="O30" s="180"/>
    </row>
    <row r="31" spans="1:16" ht="77.25" customHeight="1" x14ac:dyDescent="0.3">
      <c r="A31" s="180">
        <v>6</v>
      </c>
      <c r="B31" s="199" t="s">
        <v>178</v>
      </c>
      <c r="C31" s="200">
        <v>14</v>
      </c>
      <c r="D31" s="180" t="s">
        <v>173</v>
      </c>
      <c r="E31" s="180"/>
      <c r="F31" s="201">
        <v>492000</v>
      </c>
      <c r="G31" s="189"/>
      <c r="H31" s="189">
        <f t="shared" si="0"/>
        <v>492000</v>
      </c>
      <c r="I31" s="190"/>
      <c r="J31" s="190"/>
      <c r="K31" s="190"/>
      <c r="L31" s="180"/>
      <c r="M31" s="180"/>
      <c r="N31" s="180"/>
      <c r="O31" s="180"/>
    </row>
    <row r="32" spans="1:16" ht="83.25" customHeight="1" x14ac:dyDescent="0.3">
      <c r="A32" s="180">
        <v>7</v>
      </c>
      <c r="B32" s="199" t="s">
        <v>179</v>
      </c>
      <c r="C32" s="200">
        <v>16</v>
      </c>
      <c r="D32" s="180" t="s">
        <v>173</v>
      </c>
      <c r="E32" s="180"/>
      <c r="F32" s="201">
        <v>224100</v>
      </c>
      <c r="G32" s="189"/>
      <c r="H32" s="189">
        <f t="shared" si="0"/>
        <v>224100</v>
      </c>
      <c r="I32" s="190"/>
      <c r="J32" s="190"/>
      <c r="K32" s="190"/>
      <c r="L32" s="180"/>
      <c r="M32" s="180"/>
      <c r="N32" s="180"/>
      <c r="O32" s="180"/>
    </row>
    <row r="33" spans="1:15" ht="77.25" customHeight="1" x14ac:dyDescent="0.3">
      <c r="A33" s="180">
        <v>8</v>
      </c>
      <c r="B33" s="199" t="s">
        <v>180</v>
      </c>
      <c r="C33" s="200">
        <v>16</v>
      </c>
      <c r="D33" s="180" t="s">
        <v>173</v>
      </c>
      <c r="E33" s="180"/>
      <c r="F33" s="201">
        <v>42400</v>
      </c>
      <c r="G33" s="189"/>
      <c r="H33" s="189">
        <f t="shared" si="0"/>
        <v>42400</v>
      </c>
      <c r="I33" s="190"/>
      <c r="J33" s="190"/>
      <c r="K33" s="190"/>
      <c r="L33" s="180"/>
      <c r="M33" s="180"/>
      <c r="N33" s="180"/>
      <c r="O33" s="180"/>
    </row>
    <row r="34" spans="1:15" ht="77.25" customHeight="1" x14ac:dyDescent="0.3">
      <c r="A34" s="180">
        <v>9</v>
      </c>
      <c r="B34" s="199" t="s">
        <v>181</v>
      </c>
      <c r="C34" s="200">
        <v>17</v>
      </c>
      <c r="D34" s="180" t="s">
        <v>173</v>
      </c>
      <c r="E34" s="180"/>
      <c r="F34" s="201">
        <v>430000</v>
      </c>
      <c r="G34" s="189"/>
      <c r="H34" s="189">
        <f t="shared" si="0"/>
        <v>430000</v>
      </c>
      <c r="I34" s="190"/>
      <c r="J34" s="190"/>
      <c r="K34" s="190"/>
      <c r="L34" s="180"/>
      <c r="M34" s="180"/>
      <c r="N34" s="180"/>
      <c r="O34" s="180"/>
    </row>
    <row r="35" spans="1:15" ht="77.25" customHeight="1" x14ac:dyDescent="0.3">
      <c r="A35" s="180">
        <v>10</v>
      </c>
      <c r="B35" s="199" t="s">
        <v>182</v>
      </c>
      <c r="C35" s="200">
        <v>8</v>
      </c>
      <c r="D35" s="180" t="s">
        <v>173</v>
      </c>
      <c r="E35" s="180"/>
      <c r="F35" s="201">
        <v>389400</v>
      </c>
      <c r="G35" s="189"/>
      <c r="H35" s="189">
        <f t="shared" si="0"/>
        <v>389400</v>
      </c>
      <c r="I35" s="190"/>
      <c r="J35" s="190"/>
      <c r="K35" s="190"/>
      <c r="L35" s="180"/>
      <c r="M35" s="180"/>
      <c r="N35" s="180"/>
      <c r="O35" s="180"/>
    </row>
    <row r="36" spans="1:15" ht="77.25" customHeight="1" x14ac:dyDescent="0.3">
      <c r="A36" s="180">
        <v>11</v>
      </c>
      <c r="B36" s="199" t="s">
        <v>183</v>
      </c>
      <c r="C36" s="200">
        <v>11</v>
      </c>
      <c r="D36" s="180" t="s">
        <v>173</v>
      </c>
      <c r="E36" s="180"/>
      <c r="F36" s="201">
        <v>161000</v>
      </c>
      <c r="G36" s="189"/>
      <c r="H36" s="189">
        <f t="shared" si="0"/>
        <v>161000</v>
      </c>
      <c r="I36" s="190"/>
      <c r="J36" s="190"/>
      <c r="K36" s="190"/>
      <c r="L36" s="180"/>
      <c r="M36" s="180"/>
      <c r="N36" s="180"/>
      <c r="O36" s="180"/>
    </row>
    <row r="37" spans="1:15" ht="77.25" customHeight="1" x14ac:dyDescent="0.3">
      <c r="A37" s="180">
        <v>12</v>
      </c>
      <c r="B37" s="199" t="s">
        <v>184</v>
      </c>
      <c r="C37" s="200">
        <v>4</v>
      </c>
      <c r="D37" s="180" t="s">
        <v>173</v>
      </c>
      <c r="E37" s="180"/>
      <c r="F37" s="201">
        <v>386700</v>
      </c>
      <c r="G37" s="189"/>
      <c r="H37" s="189">
        <f t="shared" si="0"/>
        <v>386700</v>
      </c>
      <c r="I37" s="190"/>
      <c r="J37" s="190"/>
      <c r="K37" s="190"/>
      <c r="L37" s="180"/>
      <c r="M37" s="180"/>
      <c r="N37" s="180"/>
      <c r="O37" s="180"/>
    </row>
    <row r="38" spans="1:15" ht="77.25" customHeight="1" x14ac:dyDescent="0.3">
      <c r="A38" s="180">
        <v>13</v>
      </c>
      <c r="B38" s="199" t="s">
        <v>185</v>
      </c>
      <c r="C38" s="200">
        <v>5</v>
      </c>
      <c r="D38" s="180" t="s">
        <v>173</v>
      </c>
      <c r="E38" s="180"/>
      <c r="F38" s="201">
        <v>82300</v>
      </c>
      <c r="G38" s="189"/>
      <c r="H38" s="189">
        <f t="shared" si="0"/>
        <v>82300</v>
      </c>
      <c r="I38" s="190"/>
      <c r="J38" s="190"/>
      <c r="K38" s="190"/>
      <c r="L38" s="180"/>
      <c r="M38" s="180"/>
      <c r="N38" s="180"/>
      <c r="O38" s="180"/>
    </row>
    <row r="39" spans="1:15" ht="77.25" customHeight="1" x14ac:dyDescent="0.3">
      <c r="A39" s="180">
        <v>14</v>
      </c>
      <c r="B39" s="199" t="s">
        <v>186</v>
      </c>
      <c r="C39" s="200">
        <v>6</v>
      </c>
      <c r="D39" s="180" t="s">
        <v>173</v>
      </c>
      <c r="E39" s="180"/>
      <c r="F39" s="201">
        <v>345300</v>
      </c>
      <c r="G39" s="189"/>
      <c r="H39" s="189">
        <f t="shared" si="0"/>
        <v>345300</v>
      </c>
      <c r="I39" s="190"/>
      <c r="J39" s="190"/>
      <c r="K39" s="190"/>
      <c r="L39" s="180"/>
      <c r="M39" s="180"/>
      <c r="N39" s="180"/>
      <c r="O39" s="180"/>
    </row>
    <row r="40" spans="1:15" ht="129.75" customHeight="1" x14ac:dyDescent="0.3">
      <c r="A40" s="180">
        <v>15</v>
      </c>
      <c r="B40" s="199" t="s">
        <v>187</v>
      </c>
      <c r="C40" s="200">
        <v>12</v>
      </c>
      <c r="D40" s="180" t="s">
        <v>173</v>
      </c>
      <c r="E40" s="180"/>
      <c r="F40" s="201">
        <v>346000</v>
      </c>
      <c r="G40" s="189"/>
      <c r="H40" s="189">
        <f t="shared" si="0"/>
        <v>346000</v>
      </c>
      <c r="I40" s="190"/>
      <c r="J40" s="190"/>
      <c r="K40" s="190"/>
      <c r="L40" s="180"/>
      <c r="M40" s="180"/>
      <c r="N40" s="180"/>
      <c r="O40" s="180"/>
    </row>
    <row r="41" spans="1:15" ht="77.25" customHeight="1" x14ac:dyDescent="0.3">
      <c r="A41" s="180">
        <v>16</v>
      </c>
      <c r="B41" s="199" t="s">
        <v>188</v>
      </c>
      <c r="C41" s="200">
        <v>9</v>
      </c>
      <c r="D41" s="180" t="s">
        <v>173</v>
      </c>
      <c r="E41" s="180"/>
      <c r="F41" s="201">
        <v>135900</v>
      </c>
      <c r="G41" s="189"/>
      <c r="H41" s="189">
        <f t="shared" si="0"/>
        <v>135900</v>
      </c>
      <c r="I41" s="190"/>
      <c r="J41" s="190"/>
      <c r="K41" s="190"/>
      <c r="L41" s="180"/>
      <c r="M41" s="180"/>
      <c r="N41" s="180"/>
      <c r="O41" s="180"/>
    </row>
    <row r="42" spans="1:15" ht="135.75" customHeight="1" x14ac:dyDescent="0.3">
      <c r="A42" s="180">
        <v>17</v>
      </c>
      <c r="B42" s="199" t="s">
        <v>189</v>
      </c>
      <c r="C42" s="200">
        <v>15</v>
      </c>
      <c r="D42" s="180" t="s">
        <v>173</v>
      </c>
      <c r="E42" s="180"/>
      <c r="F42" s="201">
        <v>521100</v>
      </c>
      <c r="G42" s="189"/>
      <c r="H42" s="189">
        <f t="shared" si="0"/>
        <v>521100</v>
      </c>
      <c r="I42" s="190"/>
      <c r="J42" s="190"/>
      <c r="K42" s="190"/>
      <c r="L42" s="180"/>
      <c r="M42" s="180"/>
      <c r="N42" s="180"/>
      <c r="O42" s="180"/>
    </row>
    <row r="43" spans="1:15" ht="77.25" customHeight="1" x14ac:dyDescent="0.3">
      <c r="A43" s="180">
        <v>18</v>
      </c>
      <c r="B43" s="199" t="s">
        <v>190</v>
      </c>
      <c r="C43" s="200">
        <v>13</v>
      </c>
      <c r="D43" s="180" t="s">
        <v>173</v>
      </c>
      <c r="E43" s="180"/>
      <c r="F43" s="201">
        <v>344800</v>
      </c>
      <c r="G43" s="189"/>
      <c r="H43" s="189">
        <f t="shared" si="0"/>
        <v>344800</v>
      </c>
      <c r="I43" s="190"/>
      <c r="J43" s="190"/>
      <c r="K43" s="190"/>
      <c r="L43" s="180"/>
      <c r="M43" s="180"/>
      <c r="N43" s="180"/>
      <c r="O43" s="180"/>
    </row>
    <row r="44" spans="1:15" ht="77.25" customHeight="1" x14ac:dyDescent="0.3">
      <c r="A44" s="180">
        <v>19</v>
      </c>
      <c r="B44" s="199" t="s">
        <v>191</v>
      </c>
      <c r="C44" s="200">
        <v>7</v>
      </c>
      <c r="D44" s="180" t="s">
        <v>173</v>
      </c>
      <c r="E44" s="180"/>
      <c r="F44" s="201">
        <v>403300</v>
      </c>
      <c r="G44" s="189"/>
      <c r="H44" s="189">
        <f t="shared" si="0"/>
        <v>403300</v>
      </c>
      <c r="I44" s="190"/>
      <c r="J44" s="190"/>
      <c r="K44" s="190"/>
      <c r="L44" s="180"/>
      <c r="M44" s="180"/>
      <c r="N44" s="180"/>
      <c r="O44" s="180"/>
    </row>
    <row r="45" spans="1:15" ht="84" customHeight="1" x14ac:dyDescent="0.3">
      <c r="A45" s="180">
        <v>20</v>
      </c>
      <c r="B45" s="199" t="s">
        <v>192</v>
      </c>
      <c r="C45" s="200">
        <v>10</v>
      </c>
      <c r="D45" s="180" t="s">
        <v>173</v>
      </c>
      <c r="E45" s="180"/>
      <c r="F45" s="201">
        <v>206700</v>
      </c>
      <c r="G45" s="189"/>
      <c r="H45" s="189">
        <f t="shared" si="0"/>
        <v>206700</v>
      </c>
      <c r="I45" s="190"/>
      <c r="J45" s="190"/>
      <c r="K45" s="190"/>
      <c r="L45" s="180"/>
      <c r="M45" s="180"/>
      <c r="N45" s="180"/>
      <c r="O45" s="180"/>
    </row>
    <row r="46" spans="1:15" ht="77.25" customHeight="1" x14ac:dyDescent="0.3">
      <c r="A46" s="180">
        <v>21</v>
      </c>
      <c r="B46" s="199" t="s">
        <v>193</v>
      </c>
      <c r="C46" s="200">
        <v>10</v>
      </c>
      <c r="D46" s="180" t="s">
        <v>173</v>
      </c>
      <c r="E46" s="180"/>
      <c r="F46" s="201">
        <v>121500</v>
      </c>
      <c r="G46" s="189"/>
      <c r="H46" s="189">
        <f t="shared" si="0"/>
        <v>121500</v>
      </c>
      <c r="I46" s="190"/>
      <c r="J46" s="190"/>
      <c r="K46" s="190"/>
      <c r="L46" s="180"/>
      <c r="M46" s="180"/>
      <c r="N46" s="180"/>
      <c r="O46" s="180"/>
    </row>
    <row r="47" spans="1:15" ht="77.25" customHeight="1" x14ac:dyDescent="0.3">
      <c r="A47" s="180">
        <v>22</v>
      </c>
      <c r="B47" s="199" t="s">
        <v>417</v>
      </c>
      <c r="C47" s="200">
        <v>9</v>
      </c>
      <c r="D47" s="180" t="s">
        <v>173</v>
      </c>
      <c r="E47" s="180"/>
      <c r="F47" s="201">
        <v>397600</v>
      </c>
      <c r="G47" s="189"/>
      <c r="H47" s="189">
        <f t="shared" si="0"/>
        <v>397600</v>
      </c>
      <c r="I47" s="190"/>
      <c r="J47" s="190"/>
      <c r="K47" s="190"/>
      <c r="L47" s="180"/>
      <c r="M47" s="180"/>
      <c r="N47" s="180"/>
      <c r="O47" s="180"/>
    </row>
  </sheetData>
  <mergeCells count="1">
    <mergeCell ref="A1:O1"/>
  </mergeCells>
  <pageMargins left="0.39370078740157483" right="0.39370078740157483" top="0.74803149606299213" bottom="0.74803149606299213" header="0.31496062992125984" footer="0.31496062992125984"/>
  <pageSetup paperSize="9" scale="84" firstPageNumber="51" orientation="landscape" useFirstPageNumber="1" r:id="rId1"/>
  <headerFooter>
    <oddHeader>&amp;R&amp;P</oddHead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0.2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view="pageBreakPreview" topLeftCell="A67" zoomScaleNormal="140" zoomScaleSheetLayoutView="100" workbookViewId="0">
      <selection activeCell="B7" sqref="B7"/>
    </sheetView>
  </sheetViews>
  <sheetFormatPr defaultRowHeight="20.25" x14ac:dyDescent="0.3"/>
  <cols>
    <col min="1" max="1" width="11.44140625" customWidth="1"/>
    <col min="2" max="2" width="13.77734375" customWidth="1"/>
    <col min="3" max="3" width="8.21875" customWidth="1"/>
    <col min="4" max="4" width="10.44140625" customWidth="1"/>
    <col min="5" max="5" width="7.77734375" customWidth="1"/>
    <col min="8" max="9" width="10.44140625" customWidth="1"/>
    <col min="10" max="10" width="10.77734375" customWidth="1"/>
  </cols>
  <sheetData>
    <row r="1" spans="1:10" ht="23.25" x14ac:dyDescent="0.35">
      <c r="A1" s="346" t="s">
        <v>81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0" ht="23.25" x14ac:dyDescent="0.35">
      <c r="A2" s="346" t="s">
        <v>337</v>
      </c>
      <c r="B2" s="346"/>
      <c r="C2" s="346"/>
      <c r="D2" s="346"/>
      <c r="E2" s="346"/>
      <c r="F2" s="346"/>
      <c r="G2" s="346"/>
      <c r="H2" s="346"/>
      <c r="I2" s="346"/>
      <c r="J2" s="346"/>
    </row>
    <row r="3" spans="1:10" ht="23.25" x14ac:dyDescent="0.35">
      <c r="A3" s="291"/>
      <c r="B3" s="291"/>
      <c r="C3" s="291"/>
      <c r="D3" s="291"/>
      <c r="E3" s="291"/>
      <c r="F3" s="291"/>
      <c r="G3" s="291"/>
      <c r="H3" s="291"/>
      <c r="I3" s="291"/>
      <c r="J3" s="291"/>
    </row>
    <row r="4" spans="1:10" ht="23.25" x14ac:dyDescent="0.35">
      <c r="A4" s="292" t="s">
        <v>380</v>
      </c>
      <c r="B4" s="291"/>
      <c r="C4" s="291"/>
      <c r="D4" s="291"/>
      <c r="E4" s="291"/>
      <c r="F4" s="291"/>
      <c r="G4" s="291"/>
      <c r="H4" s="291"/>
      <c r="I4" s="291"/>
      <c r="J4" s="291"/>
    </row>
    <row r="5" spans="1:10" x14ac:dyDescent="0.3">
      <c r="A5" s="341" t="s">
        <v>328</v>
      </c>
      <c r="B5" s="266" t="s">
        <v>72</v>
      </c>
      <c r="C5" s="344" t="s">
        <v>366</v>
      </c>
      <c r="D5" s="345"/>
      <c r="E5" s="344" t="s">
        <v>367</v>
      </c>
      <c r="F5" s="345"/>
      <c r="G5" s="344" t="s">
        <v>384</v>
      </c>
      <c r="H5" s="345"/>
      <c r="I5" s="341" t="s">
        <v>369</v>
      </c>
      <c r="J5" s="341" t="s">
        <v>378</v>
      </c>
    </row>
    <row r="6" spans="1:10" ht="84" customHeight="1" x14ac:dyDescent="0.3">
      <c r="A6" s="343"/>
      <c r="B6" s="267" t="s">
        <v>374</v>
      </c>
      <c r="C6" s="268" t="s">
        <v>373</v>
      </c>
      <c r="D6" s="268" t="s">
        <v>371</v>
      </c>
      <c r="E6" s="269" t="s">
        <v>372</v>
      </c>
      <c r="F6" s="269" t="s">
        <v>371</v>
      </c>
      <c r="G6" s="269" t="s">
        <v>72</v>
      </c>
      <c r="H6" s="269" t="s">
        <v>80</v>
      </c>
      <c r="I6" s="342"/>
      <c r="J6" s="342"/>
    </row>
    <row r="7" spans="1:10" ht="56.25" x14ac:dyDescent="0.3">
      <c r="A7" s="270" t="s">
        <v>345</v>
      </c>
      <c r="B7" s="74">
        <v>71</v>
      </c>
      <c r="C7" s="74">
        <v>15</v>
      </c>
      <c r="D7" s="284">
        <f>4638000+795881</f>
        <v>5433881</v>
      </c>
      <c r="E7" s="271">
        <v>6</v>
      </c>
      <c r="F7" s="271">
        <v>2433000</v>
      </c>
      <c r="G7" s="272">
        <v>9</v>
      </c>
      <c r="H7" s="276">
        <f>2170000+6243.45</f>
        <v>2176243.4500000002</v>
      </c>
      <c r="I7" s="273">
        <f>35000+113638</f>
        <v>148638</v>
      </c>
      <c r="J7" s="273" t="s">
        <v>375</v>
      </c>
    </row>
    <row r="8" spans="1:10" ht="56.25" x14ac:dyDescent="0.3">
      <c r="A8" s="270" t="s">
        <v>348</v>
      </c>
      <c r="B8" s="74">
        <f>10+1</f>
        <v>11</v>
      </c>
      <c r="C8" s="285">
        <v>3</v>
      </c>
      <c r="D8" s="286">
        <f>316000+40000</f>
        <v>356000</v>
      </c>
      <c r="E8" s="274">
        <v>1</v>
      </c>
      <c r="F8" s="287">
        <v>9750</v>
      </c>
      <c r="G8" s="274">
        <v>3</v>
      </c>
      <c r="H8" s="287">
        <f>262420+37995</f>
        <v>300415</v>
      </c>
      <c r="I8" s="271">
        <f>43830+2005</f>
        <v>45835</v>
      </c>
      <c r="J8" s="273" t="s">
        <v>377</v>
      </c>
    </row>
    <row r="9" spans="1:10" ht="56.25" x14ac:dyDescent="0.3">
      <c r="A9" s="270" t="s">
        <v>350</v>
      </c>
      <c r="B9" s="74">
        <f>42+9</f>
        <v>51</v>
      </c>
      <c r="C9" s="285">
        <f>4+5</f>
        <v>9</v>
      </c>
      <c r="D9" s="286">
        <f>5511302+253355+489000+30000</f>
        <v>6283657</v>
      </c>
      <c r="E9" s="271">
        <v>1</v>
      </c>
      <c r="F9" s="271">
        <v>335900.15999999997</v>
      </c>
      <c r="G9" s="271">
        <v>9</v>
      </c>
      <c r="H9" s="271">
        <f>5350903+457844</f>
        <v>5808747</v>
      </c>
      <c r="I9" s="271">
        <f>112054+1156</f>
        <v>113210</v>
      </c>
      <c r="J9" s="273" t="s">
        <v>377</v>
      </c>
    </row>
    <row r="10" spans="1:10" ht="56.25" x14ac:dyDescent="0.3">
      <c r="A10" s="270" t="s">
        <v>353</v>
      </c>
      <c r="B10" s="74">
        <f>15+2</f>
        <v>17</v>
      </c>
      <c r="C10" s="285">
        <f>4</f>
        <v>4</v>
      </c>
      <c r="D10" s="286">
        <f>1420000-179640</f>
        <v>1240360</v>
      </c>
      <c r="E10" s="271">
        <v>1</v>
      </c>
      <c r="F10" s="271">
        <v>58175</v>
      </c>
      <c r="G10" s="272">
        <v>4</v>
      </c>
      <c r="H10" s="276">
        <f>728764</f>
        <v>728764</v>
      </c>
      <c r="I10" s="277">
        <v>53421</v>
      </c>
      <c r="J10" s="273" t="s">
        <v>377</v>
      </c>
    </row>
    <row r="11" spans="1:10" ht="56.25" x14ac:dyDescent="0.3">
      <c r="A11" s="270" t="s">
        <v>356</v>
      </c>
      <c r="B11" s="74">
        <v>7</v>
      </c>
      <c r="C11" s="285">
        <f>2+2</f>
        <v>4</v>
      </c>
      <c r="D11" s="286">
        <f>101860+90000</f>
        <v>191860</v>
      </c>
      <c r="E11" s="272" t="s">
        <v>84</v>
      </c>
      <c r="F11" s="272" t="s">
        <v>84</v>
      </c>
      <c r="G11" s="272">
        <f>2</f>
        <v>2</v>
      </c>
      <c r="H11" s="272">
        <f>96800</f>
        <v>96800</v>
      </c>
      <c r="I11" s="272">
        <f>5060+90000</f>
        <v>95060</v>
      </c>
      <c r="J11" s="272" t="s">
        <v>84</v>
      </c>
    </row>
    <row r="12" spans="1:10" ht="37.5" x14ac:dyDescent="0.3">
      <c r="A12" s="270" t="s">
        <v>357</v>
      </c>
      <c r="B12" s="74">
        <v>3</v>
      </c>
      <c r="C12" s="285"/>
      <c r="D12" s="288"/>
      <c r="E12" s="272" t="s">
        <v>84</v>
      </c>
      <c r="F12" s="272" t="s">
        <v>84</v>
      </c>
      <c r="G12" s="272" t="s">
        <v>84</v>
      </c>
      <c r="H12" s="272" t="s">
        <v>84</v>
      </c>
      <c r="I12" s="272" t="s">
        <v>84</v>
      </c>
      <c r="J12" s="272" t="s">
        <v>84</v>
      </c>
    </row>
    <row r="13" spans="1:10" ht="56.25" x14ac:dyDescent="0.3">
      <c r="A13" s="270" t="s">
        <v>359</v>
      </c>
      <c r="B13" s="264">
        <f>54+4</f>
        <v>58</v>
      </c>
      <c r="C13" s="289">
        <f>9+1+1+2</f>
        <v>13</v>
      </c>
      <c r="D13" s="290">
        <f>660029+200000+9950+40980-192340</f>
        <v>718619</v>
      </c>
      <c r="E13" s="271">
        <v>3</v>
      </c>
      <c r="F13" s="271">
        <f>45464</f>
        <v>45464</v>
      </c>
      <c r="G13" s="271">
        <f>8+3+2</f>
        <v>13</v>
      </c>
      <c r="H13" s="271">
        <f>447034+9588</f>
        <v>456622</v>
      </c>
      <c r="I13" s="271">
        <f>362+200000+16171</f>
        <v>216533</v>
      </c>
      <c r="J13" s="273" t="s">
        <v>376</v>
      </c>
    </row>
    <row r="14" spans="1:10" x14ac:dyDescent="0.3">
      <c r="A14" s="278" t="s">
        <v>82</v>
      </c>
      <c r="B14" s="5">
        <f t="shared" ref="B14:E14" si="0">SUM(B7:B13)</f>
        <v>218</v>
      </c>
      <c r="C14" s="5">
        <f>SUM(C7:C13)</f>
        <v>48</v>
      </c>
      <c r="D14" s="283">
        <f>SUM(D7:D13)</f>
        <v>14224377</v>
      </c>
      <c r="E14" s="275">
        <f t="shared" si="0"/>
        <v>12</v>
      </c>
      <c r="F14" s="275">
        <f>SUM(F7:F13)</f>
        <v>2882289.16</v>
      </c>
      <c r="G14" s="275">
        <f>SUM(G7:G13)</f>
        <v>40</v>
      </c>
      <c r="H14" s="279">
        <f>SUM(H7:H13)</f>
        <v>9567591.4499999993</v>
      </c>
      <c r="I14" s="279">
        <f>SUM(I7:I13)</f>
        <v>672697</v>
      </c>
      <c r="J14" s="275">
        <f t="shared" ref="J14" si="1">SUM(J7:J13)</f>
        <v>0</v>
      </c>
    </row>
    <row r="15" spans="1:10" x14ac:dyDescent="0.3">
      <c r="A15" s="280"/>
      <c r="B15" s="281"/>
      <c r="C15" s="281"/>
      <c r="D15" s="293"/>
      <c r="E15" s="282"/>
      <c r="F15" s="282"/>
      <c r="G15" s="282"/>
      <c r="H15" s="294"/>
      <c r="I15" s="294"/>
      <c r="J15" s="282"/>
    </row>
    <row r="16" spans="1:10" ht="23.25" x14ac:dyDescent="0.35">
      <c r="A16" s="292" t="s">
        <v>381</v>
      </c>
      <c r="B16" s="291"/>
      <c r="C16" s="291"/>
      <c r="D16" s="291"/>
      <c r="E16" s="291"/>
    </row>
    <row r="17" spans="1:10" x14ac:dyDescent="0.3">
      <c r="A17" s="265"/>
      <c r="B17" s="265"/>
      <c r="C17" s="265"/>
      <c r="D17" s="265"/>
      <c r="E17" s="265"/>
      <c r="F17" s="265"/>
      <c r="G17" s="265"/>
      <c r="H17" s="265"/>
      <c r="I17" s="265"/>
      <c r="J17" s="265"/>
    </row>
    <row r="18" spans="1:10" x14ac:dyDescent="0.3">
      <c r="A18" s="341" t="s">
        <v>328</v>
      </c>
      <c r="B18" s="266" t="s">
        <v>72</v>
      </c>
      <c r="C18" s="344" t="s">
        <v>366</v>
      </c>
      <c r="D18" s="345"/>
      <c r="E18" s="344" t="s">
        <v>367</v>
      </c>
      <c r="F18" s="345"/>
      <c r="G18" s="344" t="s">
        <v>368</v>
      </c>
      <c r="H18" s="345"/>
      <c r="I18" s="341" t="s">
        <v>369</v>
      </c>
      <c r="J18" s="341" t="s">
        <v>378</v>
      </c>
    </row>
    <row r="19" spans="1:10" ht="32.450000000000003" customHeight="1" x14ac:dyDescent="0.3">
      <c r="A19" s="343"/>
      <c r="B19" s="267" t="s">
        <v>374</v>
      </c>
      <c r="C19" s="268" t="s">
        <v>370</v>
      </c>
      <c r="D19" s="268" t="s">
        <v>371</v>
      </c>
      <c r="E19" s="269" t="s">
        <v>372</v>
      </c>
      <c r="F19" s="269" t="s">
        <v>371</v>
      </c>
      <c r="G19" s="269" t="s">
        <v>72</v>
      </c>
      <c r="H19" s="269" t="s">
        <v>80</v>
      </c>
      <c r="I19" s="342"/>
      <c r="J19" s="342"/>
    </row>
    <row r="20" spans="1:10" ht="56.25" x14ac:dyDescent="0.3">
      <c r="A20" s="270" t="s">
        <v>345</v>
      </c>
      <c r="B20" s="74">
        <v>71</v>
      </c>
      <c r="C20" s="74">
        <v>18</v>
      </c>
      <c r="D20" s="284">
        <v>5526200</v>
      </c>
      <c r="E20" s="68"/>
      <c r="F20" s="271"/>
      <c r="G20" s="272">
        <v>18</v>
      </c>
      <c r="H20" s="284">
        <v>5299000</v>
      </c>
      <c r="I20" s="273">
        <f>D20-H20</f>
        <v>227200</v>
      </c>
      <c r="J20" s="273"/>
    </row>
    <row r="21" spans="1:10" x14ac:dyDescent="0.3">
      <c r="A21" s="270" t="s">
        <v>348</v>
      </c>
      <c r="B21" s="74">
        <f>10+1</f>
        <v>11</v>
      </c>
      <c r="C21" s="285"/>
      <c r="D21" s="286"/>
      <c r="E21" s="274"/>
      <c r="F21" s="287"/>
      <c r="G21" s="274"/>
      <c r="H21" s="287"/>
      <c r="I21" s="271"/>
      <c r="J21" s="273"/>
    </row>
    <row r="22" spans="1:10" ht="56.25" x14ac:dyDescent="0.3">
      <c r="A22" s="270" t="s">
        <v>350</v>
      </c>
      <c r="B22" s="74">
        <f>42+9</f>
        <v>51</v>
      </c>
      <c r="C22" s="285"/>
      <c r="D22" s="286"/>
      <c r="E22" s="271"/>
      <c r="F22" s="271"/>
      <c r="G22" s="271"/>
      <c r="H22" s="271"/>
      <c r="I22" s="271"/>
      <c r="J22" s="273"/>
    </row>
    <row r="23" spans="1:10" ht="37.5" x14ac:dyDescent="0.3">
      <c r="A23" s="270" t="s">
        <v>353</v>
      </c>
      <c r="B23" s="74">
        <f>15+2</f>
        <v>17</v>
      </c>
      <c r="C23" s="285"/>
      <c r="D23" s="286"/>
      <c r="E23" s="271"/>
      <c r="F23" s="271"/>
      <c r="G23" s="272"/>
      <c r="H23" s="276"/>
      <c r="I23" s="277"/>
      <c r="J23" s="273"/>
    </row>
    <row r="24" spans="1:10" ht="56.25" x14ac:dyDescent="0.3">
      <c r="A24" s="270" t="s">
        <v>356</v>
      </c>
      <c r="B24" s="74">
        <v>7</v>
      </c>
      <c r="C24" s="285"/>
      <c r="D24" s="286"/>
      <c r="E24" s="272"/>
      <c r="F24" s="272"/>
      <c r="G24" s="272"/>
      <c r="H24" s="272"/>
      <c r="I24" s="272"/>
      <c r="J24" s="272"/>
    </row>
    <row r="25" spans="1:10" ht="37.5" x14ac:dyDescent="0.3">
      <c r="A25" s="270" t="s">
        <v>357</v>
      </c>
      <c r="B25" s="74">
        <v>3</v>
      </c>
      <c r="C25" s="285"/>
      <c r="D25" s="288"/>
      <c r="E25" s="272"/>
      <c r="F25" s="272"/>
      <c r="G25" s="272"/>
      <c r="H25" s="272"/>
      <c r="I25" s="272"/>
      <c r="J25" s="272"/>
    </row>
    <row r="26" spans="1:10" ht="56.25" x14ac:dyDescent="0.3">
      <c r="A26" s="270" t="s">
        <v>359</v>
      </c>
      <c r="B26" s="264">
        <f>54+4</f>
        <v>58</v>
      </c>
      <c r="C26" s="289"/>
      <c r="D26" s="290"/>
      <c r="E26" s="271"/>
      <c r="F26" s="271"/>
      <c r="G26" s="271"/>
      <c r="H26" s="271"/>
      <c r="I26" s="271"/>
      <c r="J26" s="273"/>
    </row>
    <row r="27" spans="1:10" x14ac:dyDescent="0.3">
      <c r="A27" s="278" t="s">
        <v>82</v>
      </c>
      <c r="B27" s="5">
        <f t="shared" ref="B27" si="2">SUM(B20:B26)</f>
        <v>218</v>
      </c>
      <c r="C27" s="5">
        <f>SUM(C20:C26)</f>
        <v>18</v>
      </c>
      <c r="D27" s="283">
        <f>SUM(D20:D26)</f>
        <v>5526200</v>
      </c>
      <c r="E27" s="275"/>
      <c r="F27" s="275"/>
      <c r="G27" s="275">
        <f>SUM(G20:G26)</f>
        <v>18</v>
      </c>
      <c r="H27" s="279">
        <f>SUM(H20:H26)</f>
        <v>5299000</v>
      </c>
      <c r="I27" s="279">
        <f>SUM(I20:I26)</f>
        <v>227200</v>
      </c>
      <c r="J27" s="275"/>
    </row>
    <row r="28" spans="1:10" x14ac:dyDescent="0.3">
      <c r="A28" s="280"/>
      <c r="B28" s="281"/>
      <c r="C28" s="281"/>
      <c r="D28" s="282"/>
      <c r="E28" s="282"/>
      <c r="F28" s="282"/>
      <c r="G28" s="282"/>
      <c r="H28" s="282"/>
      <c r="I28" s="282"/>
      <c r="J28" s="282"/>
    </row>
    <row r="34" spans="1:10" x14ac:dyDescent="0.3">
      <c r="A34" s="235" t="s">
        <v>382</v>
      </c>
      <c r="B34" s="235"/>
      <c r="C34" s="235"/>
    </row>
    <row r="35" spans="1:10" x14ac:dyDescent="0.3">
      <c r="A35" s="265"/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x14ac:dyDescent="0.3">
      <c r="A36" s="341" t="s">
        <v>328</v>
      </c>
      <c r="B36" s="266" t="s">
        <v>72</v>
      </c>
      <c r="C36" s="344" t="s">
        <v>366</v>
      </c>
      <c r="D36" s="345"/>
      <c r="E36" s="344" t="s">
        <v>367</v>
      </c>
      <c r="F36" s="345"/>
      <c r="G36" s="344" t="s">
        <v>368</v>
      </c>
      <c r="H36" s="345"/>
      <c r="I36" s="341" t="s">
        <v>369</v>
      </c>
      <c r="J36" s="341" t="s">
        <v>378</v>
      </c>
    </row>
    <row r="37" spans="1:10" ht="68.45" customHeight="1" x14ac:dyDescent="0.3">
      <c r="A37" s="343"/>
      <c r="B37" s="267" t="s">
        <v>374</v>
      </c>
      <c r="C37" s="268" t="s">
        <v>370</v>
      </c>
      <c r="D37" s="268" t="s">
        <v>371</v>
      </c>
      <c r="E37" s="269" t="s">
        <v>372</v>
      </c>
      <c r="F37" s="269" t="s">
        <v>371</v>
      </c>
      <c r="G37" s="269" t="s">
        <v>72</v>
      </c>
      <c r="H37" s="269" t="s">
        <v>80</v>
      </c>
      <c r="I37" s="342"/>
      <c r="J37" s="342"/>
    </row>
    <row r="38" spans="1:10" ht="56.25" x14ac:dyDescent="0.3">
      <c r="A38" s="270" t="s">
        <v>345</v>
      </c>
      <c r="B38" s="74">
        <v>71</v>
      </c>
      <c r="C38" s="74">
        <v>6</v>
      </c>
      <c r="D38" s="284">
        <v>2962200</v>
      </c>
      <c r="E38" s="68"/>
      <c r="F38" s="271"/>
      <c r="G38" s="272">
        <v>6</v>
      </c>
      <c r="H38" s="284">
        <v>2938000</v>
      </c>
      <c r="I38" s="273">
        <f>D38-H38</f>
        <v>24200</v>
      </c>
      <c r="J38" s="273"/>
    </row>
    <row r="39" spans="1:10" x14ac:dyDescent="0.3">
      <c r="A39" s="270" t="s">
        <v>348</v>
      </c>
      <c r="B39" s="74">
        <f>10+1</f>
        <v>11</v>
      </c>
      <c r="C39" s="285"/>
      <c r="D39" s="286"/>
      <c r="E39" s="274"/>
      <c r="F39" s="287"/>
      <c r="G39" s="274"/>
      <c r="H39" s="287"/>
      <c r="I39" s="271"/>
      <c r="J39" s="273"/>
    </row>
    <row r="40" spans="1:10" ht="56.25" x14ac:dyDescent="0.3">
      <c r="A40" s="270" t="s">
        <v>350</v>
      </c>
      <c r="B40" s="74">
        <f>42+9</f>
        <v>51</v>
      </c>
      <c r="C40" s="285"/>
      <c r="D40" s="286"/>
      <c r="E40" s="271"/>
      <c r="F40" s="271"/>
      <c r="G40" s="271"/>
      <c r="H40" s="271"/>
      <c r="I40" s="271"/>
      <c r="J40" s="273"/>
    </row>
    <row r="41" spans="1:10" ht="37.5" x14ac:dyDescent="0.3">
      <c r="A41" s="270" t="s">
        <v>353</v>
      </c>
      <c r="B41" s="74">
        <f>15+2</f>
        <v>17</v>
      </c>
      <c r="C41" s="285"/>
      <c r="D41" s="286"/>
      <c r="E41" s="271"/>
      <c r="F41" s="271"/>
      <c r="G41" s="272"/>
      <c r="H41" s="276"/>
      <c r="I41" s="277"/>
      <c r="J41" s="273"/>
    </row>
    <row r="42" spans="1:10" ht="56.25" x14ac:dyDescent="0.3">
      <c r="A42" s="270" t="s">
        <v>356</v>
      </c>
      <c r="B42" s="74">
        <v>7</v>
      </c>
      <c r="C42" s="285"/>
      <c r="D42" s="286"/>
      <c r="E42" s="272"/>
      <c r="F42" s="272"/>
      <c r="G42" s="272"/>
      <c r="H42" s="272"/>
      <c r="I42" s="272"/>
      <c r="J42" s="272"/>
    </row>
    <row r="43" spans="1:10" ht="37.5" x14ac:dyDescent="0.3">
      <c r="A43" s="270" t="s">
        <v>357</v>
      </c>
      <c r="B43" s="74">
        <v>3</v>
      </c>
      <c r="C43" s="285"/>
      <c r="D43" s="288"/>
      <c r="E43" s="272"/>
      <c r="F43" s="272"/>
      <c r="G43" s="272"/>
      <c r="H43" s="272"/>
      <c r="I43" s="272"/>
      <c r="J43" s="272"/>
    </row>
    <row r="44" spans="1:10" ht="56.25" x14ac:dyDescent="0.3">
      <c r="A44" s="270" t="s">
        <v>359</v>
      </c>
      <c r="B44" s="264">
        <f>54+4</f>
        <v>58</v>
      </c>
      <c r="C44" s="289"/>
      <c r="D44" s="290"/>
      <c r="E44" s="271"/>
      <c r="F44" s="271"/>
      <c r="G44" s="271"/>
      <c r="H44" s="271"/>
      <c r="I44" s="271"/>
      <c r="J44" s="273"/>
    </row>
    <row r="45" spans="1:10" x14ac:dyDescent="0.3">
      <c r="A45" s="278" t="s">
        <v>82</v>
      </c>
      <c r="B45" s="5">
        <f t="shared" ref="B45" si="3">SUM(B38:B44)</f>
        <v>218</v>
      </c>
      <c r="C45" s="5">
        <f>SUM(C38:C44)</f>
        <v>6</v>
      </c>
      <c r="D45" s="283">
        <f>SUM(D38:D44)</f>
        <v>2962200</v>
      </c>
      <c r="E45" s="275"/>
      <c r="F45" s="275"/>
      <c r="G45" s="275">
        <f>SUM(G38:G44)</f>
        <v>6</v>
      </c>
      <c r="H45" s="279">
        <f>SUM(H38:H44)</f>
        <v>2938000</v>
      </c>
      <c r="I45" s="279">
        <f>SUM(I38:I44)</f>
        <v>24200</v>
      </c>
      <c r="J45" s="275"/>
    </row>
    <row r="46" spans="1:10" x14ac:dyDescent="0.3">
      <c r="A46" s="280"/>
      <c r="B46" s="281"/>
      <c r="C46" s="281"/>
      <c r="D46" s="282"/>
      <c r="E46" s="282"/>
      <c r="F46" s="282"/>
      <c r="G46" s="282"/>
      <c r="H46" s="282"/>
      <c r="I46" s="282"/>
      <c r="J46" s="282"/>
    </row>
    <row r="50" spans="1:10" x14ac:dyDescent="0.3">
      <c r="A50" s="235" t="s">
        <v>383</v>
      </c>
    </row>
    <row r="51" spans="1:10" x14ac:dyDescent="0.3">
      <c r="A51" s="265"/>
      <c r="B51" s="265"/>
      <c r="C51" s="265"/>
      <c r="D51" s="265"/>
      <c r="E51" s="265"/>
      <c r="F51" s="265"/>
      <c r="G51" s="265"/>
      <c r="H51" s="265"/>
      <c r="I51" s="265"/>
      <c r="J51" s="265"/>
    </row>
    <row r="52" spans="1:10" x14ac:dyDescent="0.3">
      <c r="A52" s="341" t="s">
        <v>328</v>
      </c>
      <c r="B52" s="266" t="s">
        <v>72</v>
      </c>
      <c r="C52" s="344" t="s">
        <v>366</v>
      </c>
      <c r="D52" s="345"/>
      <c r="E52" s="344" t="s">
        <v>367</v>
      </c>
      <c r="F52" s="345"/>
      <c r="G52" s="344" t="s">
        <v>368</v>
      </c>
      <c r="H52" s="345"/>
      <c r="I52" s="341" t="s">
        <v>369</v>
      </c>
      <c r="J52" s="341" t="s">
        <v>378</v>
      </c>
    </row>
    <row r="53" spans="1:10" ht="46.9" customHeight="1" x14ac:dyDescent="0.3">
      <c r="A53" s="343"/>
      <c r="B53" s="267" t="s">
        <v>374</v>
      </c>
      <c r="C53" s="268" t="s">
        <v>379</v>
      </c>
      <c r="D53" s="268" t="s">
        <v>371</v>
      </c>
      <c r="E53" s="269" t="s">
        <v>372</v>
      </c>
      <c r="F53" s="269" t="s">
        <v>371</v>
      </c>
      <c r="G53" s="269" t="s">
        <v>72</v>
      </c>
      <c r="H53" s="269" t="s">
        <v>80</v>
      </c>
      <c r="I53" s="342"/>
      <c r="J53" s="342"/>
    </row>
    <row r="54" spans="1:10" ht="56.25" x14ac:dyDescent="0.3">
      <c r="A54" s="270" t="s">
        <v>345</v>
      </c>
      <c r="B54" s="74">
        <v>71</v>
      </c>
      <c r="C54" s="74">
        <v>1</v>
      </c>
      <c r="D54" s="284">
        <v>690000</v>
      </c>
      <c r="E54" s="68"/>
      <c r="F54" s="271"/>
      <c r="G54" s="272">
        <v>1</v>
      </c>
      <c r="H54" s="284">
        <v>524000</v>
      </c>
      <c r="I54" s="273">
        <f>D54-H54</f>
        <v>166000</v>
      </c>
      <c r="J54" s="273"/>
    </row>
    <row r="55" spans="1:10" x14ac:dyDescent="0.3">
      <c r="A55" s="270" t="s">
        <v>348</v>
      </c>
      <c r="B55" s="74">
        <f>10+1</f>
        <v>11</v>
      </c>
      <c r="C55" s="285"/>
      <c r="D55" s="286"/>
      <c r="E55" s="274"/>
      <c r="F55" s="287"/>
      <c r="G55" s="274"/>
      <c r="H55" s="287"/>
      <c r="I55" s="271"/>
      <c r="J55" s="273"/>
    </row>
    <row r="56" spans="1:10" ht="56.25" x14ac:dyDescent="0.3">
      <c r="A56" s="270" t="s">
        <v>350</v>
      </c>
      <c r="B56" s="74">
        <f>42+9</f>
        <v>51</v>
      </c>
      <c r="C56" s="285"/>
      <c r="D56" s="286"/>
      <c r="E56" s="271"/>
      <c r="F56" s="271"/>
      <c r="G56" s="271"/>
      <c r="H56" s="271"/>
      <c r="I56" s="271"/>
      <c r="J56" s="273"/>
    </row>
    <row r="57" spans="1:10" ht="37.5" x14ac:dyDescent="0.3">
      <c r="A57" s="270" t="s">
        <v>353</v>
      </c>
      <c r="B57" s="74">
        <f>15+2</f>
        <v>17</v>
      </c>
      <c r="C57" s="285"/>
      <c r="D57" s="286"/>
      <c r="E57" s="271"/>
      <c r="F57" s="271"/>
      <c r="G57" s="272"/>
      <c r="H57" s="276"/>
      <c r="I57" s="277"/>
      <c r="J57" s="273"/>
    </row>
    <row r="58" spans="1:10" ht="56.25" x14ac:dyDescent="0.3">
      <c r="A58" s="270" t="s">
        <v>356</v>
      </c>
      <c r="B58" s="74">
        <v>7</v>
      </c>
      <c r="C58" s="285"/>
      <c r="D58" s="286"/>
      <c r="E58" s="272"/>
      <c r="F58" s="272"/>
      <c r="G58" s="272"/>
      <c r="H58" s="272"/>
      <c r="I58" s="272"/>
      <c r="J58" s="272"/>
    </row>
    <row r="59" spans="1:10" ht="37.5" x14ac:dyDescent="0.3">
      <c r="A59" s="270" t="s">
        <v>357</v>
      </c>
      <c r="B59" s="74">
        <v>3</v>
      </c>
      <c r="C59" s="285"/>
      <c r="D59" s="288"/>
      <c r="E59" s="272"/>
      <c r="F59" s="272"/>
      <c r="G59" s="272"/>
      <c r="H59" s="272"/>
      <c r="I59" s="272"/>
      <c r="J59" s="272"/>
    </row>
    <row r="60" spans="1:10" ht="56.25" x14ac:dyDescent="0.3">
      <c r="A60" s="270" t="s">
        <v>359</v>
      </c>
      <c r="B60" s="264">
        <f>54+4</f>
        <v>58</v>
      </c>
      <c r="C60" s="289"/>
      <c r="D60" s="290"/>
      <c r="E60" s="271"/>
      <c r="F60" s="271"/>
      <c r="G60" s="271"/>
      <c r="H60" s="271"/>
      <c r="I60" s="271"/>
      <c r="J60" s="273"/>
    </row>
    <row r="61" spans="1:10" x14ac:dyDescent="0.3">
      <c r="A61" s="278" t="s">
        <v>82</v>
      </c>
      <c r="B61" s="5">
        <f t="shared" ref="B61" si="4">SUM(B54:B60)</f>
        <v>218</v>
      </c>
      <c r="C61" s="5">
        <f>SUM(C54:C60)</f>
        <v>1</v>
      </c>
      <c r="D61" s="283">
        <f>SUM(D54:D60)</f>
        <v>690000</v>
      </c>
      <c r="E61" s="275"/>
      <c r="F61" s="275"/>
      <c r="G61" s="275">
        <f>SUM(G54:G60)</f>
        <v>1</v>
      </c>
      <c r="H61" s="279">
        <f>SUM(H54:H60)</f>
        <v>524000</v>
      </c>
      <c r="I61" s="279">
        <f>SUM(I54:I60)</f>
        <v>166000</v>
      </c>
      <c r="J61" s="275"/>
    </row>
    <row r="68" spans="1:13" x14ac:dyDescent="0.3">
      <c r="A68" s="235" t="s">
        <v>385</v>
      </c>
    </row>
    <row r="69" spans="1:13" x14ac:dyDescent="0.3">
      <c r="A69" s="265"/>
      <c r="B69" s="265"/>
      <c r="C69" s="265"/>
      <c r="D69" s="265"/>
      <c r="E69" s="265"/>
      <c r="F69" s="265"/>
      <c r="G69" s="265"/>
      <c r="H69" s="265"/>
      <c r="I69" s="265"/>
      <c r="J69" s="265"/>
    </row>
    <row r="70" spans="1:13" x14ac:dyDescent="0.3">
      <c r="A70" s="341" t="s">
        <v>328</v>
      </c>
      <c r="B70" s="266" t="s">
        <v>72</v>
      </c>
      <c r="C70" s="344" t="s">
        <v>366</v>
      </c>
      <c r="D70" s="345"/>
      <c r="E70" s="344" t="s">
        <v>367</v>
      </c>
      <c r="F70" s="345"/>
      <c r="G70" s="344" t="s">
        <v>368</v>
      </c>
      <c r="H70" s="345"/>
      <c r="I70" s="341" t="s">
        <v>369</v>
      </c>
      <c r="J70" s="341" t="s">
        <v>378</v>
      </c>
    </row>
    <row r="71" spans="1:13" ht="60" customHeight="1" thickBot="1" x14ac:dyDescent="0.35">
      <c r="A71" s="343"/>
      <c r="B71" s="267" t="s">
        <v>374</v>
      </c>
      <c r="C71" s="268" t="s">
        <v>379</v>
      </c>
      <c r="D71" s="268" t="s">
        <v>371</v>
      </c>
      <c r="E71" s="269" t="s">
        <v>372</v>
      </c>
      <c r="F71" s="269" t="s">
        <v>371</v>
      </c>
      <c r="G71" s="269" t="s">
        <v>72</v>
      </c>
      <c r="H71" s="269" t="s">
        <v>80</v>
      </c>
      <c r="I71" s="342"/>
      <c r="J71" s="342"/>
      <c r="M71" s="295">
        <v>6398900</v>
      </c>
    </row>
    <row r="72" spans="1:13" ht="57" thickBot="1" x14ac:dyDescent="0.35">
      <c r="A72" s="270" t="s">
        <v>345</v>
      </c>
      <c r="B72" s="74">
        <v>71</v>
      </c>
      <c r="C72" s="74">
        <v>23</v>
      </c>
      <c r="D72" s="296">
        <v>6498900</v>
      </c>
      <c r="E72" s="68"/>
      <c r="F72" s="271"/>
      <c r="G72" s="272"/>
      <c r="H72" s="284"/>
      <c r="I72" s="296">
        <v>6498900</v>
      </c>
      <c r="J72" s="273"/>
      <c r="M72" s="295">
        <v>100000</v>
      </c>
    </row>
    <row r="73" spans="1:13" x14ac:dyDescent="0.3">
      <c r="A73" s="270" t="s">
        <v>348</v>
      </c>
      <c r="B73" s="74">
        <f>10+1</f>
        <v>11</v>
      </c>
      <c r="C73" s="285">
        <v>3</v>
      </c>
      <c r="D73" s="286">
        <v>152000</v>
      </c>
      <c r="E73" s="274"/>
      <c r="F73" s="287"/>
      <c r="G73" s="274"/>
      <c r="H73" s="287"/>
      <c r="I73" s="286">
        <v>152000</v>
      </c>
      <c r="J73" s="273"/>
      <c r="M73" s="25">
        <f>SUM(M71:M72)</f>
        <v>6498900</v>
      </c>
    </row>
    <row r="74" spans="1:13" ht="56.25" x14ac:dyDescent="0.3">
      <c r="A74" s="270" t="s">
        <v>350</v>
      </c>
      <c r="B74" s="74">
        <f>42+9</f>
        <v>51</v>
      </c>
      <c r="C74" s="285">
        <v>14</v>
      </c>
      <c r="D74" s="286">
        <v>5590200</v>
      </c>
      <c r="E74" s="271"/>
      <c r="F74" s="271"/>
      <c r="G74" s="271"/>
      <c r="H74" s="271"/>
      <c r="I74" s="286">
        <v>5590200</v>
      </c>
      <c r="J74" s="273"/>
    </row>
    <row r="75" spans="1:13" ht="37.5" x14ac:dyDescent="0.3">
      <c r="A75" s="270" t="s">
        <v>353</v>
      </c>
      <c r="B75" s="74">
        <f>15+2</f>
        <v>17</v>
      </c>
      <c r="C75" s="285">
        <v>4</v>
      </c>
      <c r="D75" s="286">
        <v>1636000</v>
      </c>
      <c r="E75" s="271"/>
      <c r="F75" s="271"/>
      <c r="G75" s="272"/>
      <c r="H75" s="276"/>
      <c r="I75" s="286">
        <v>1636000</v>
      </c>
      <c r="J75" s="273"/>
    </row>
    <row r="76" spans="1:13" ht="56.25" x14ac:dyDescent="0.3">
      <c r="A76" s="270" t="s">
        <v>356</v>
      </c>
      <c r="B76" s="74">
        <v>7</v>
      </c>
      <c r="C76" s="285">
        <v>3</v>
      </c>
      <c r="D76" s="286">
        <v>340000</v>
      </c>
      <c r="E76" s="272"/>
      <c r="F76" s="272"/>
      <c r="G76" s="272"/>
      <c r="H76" s="272"/>
      <c r="I76" s="286">
        <v>340000</v>
      </c>
      <c r="J76" s="272"/>
    </row>
    <row r="77" spans="1:13" ht="37.5" x14ac:dyDescent="0.3">
      <c r="A77" s="270" t="s">
        <v>357</v>
      </c>
      <c r="B77" s="74">
        <v>3</v>
      </c>
      <c r="C77" s="285" t="s">
        <v>84</v>
      </c>
      <c r="D77" s="288" t="s">
        <v>84</v>
      </c>
      <c r="E77" s="272"/>
      <c r="F77" s="272"/>
      <c r="G77" s="272"/>
      <c r="H77" s="272"/>
      <c r="I77" s="288" t="s">
        <v>84</v>
      </c>
      <c r="J77" s="272"/>
    </row>
    <row r="78" spans="1:13" ht="56.25" x14ac:dyDescent="0.3">
      <c r="A78" s="270" t="s">
        <v>359</v>
      </c>
      <c r="B78" s="264">
        <f>54+4</f>
        <v>58</v>
      </c>
      <c r="C78" s="289">
        <v>17</v>
      </c>
      <c r="D78" s="290">
        <v>940910</v>
      </c>
      <c r="E78" s="271"/>
      <c r="F78" s="271"/>
      <c r="G78" s="271"/>
      <c r="H78" s="271"/>
      <c r="I78" s="290">
        <v>940910</v>
      </c>
      <c r="J78" s="273"/>
    </row>
    <row r="79" spans="1:13" x14ac:dyDescent="0.3">
      <c r="A79" s="278" t="s">
        <v>82</v>
      </c>
      <c r="B79" s="5">
        <f t="shared" ref="B79" si="5">SUM(B72:B78)</f>
        <v>218</v>
      </c>
      <c r="C79" s="5">
        <f>SUM(C72:C78)</f>
        <v>64</v>
      </c>
      <c r="D79" s="283">
        <f>SUM(D72:D78)</f>
        <v>15158010</v>
      </c>
      <c r="E79" s="275"/>
      <c r="F79" s="275"/>
      <c r="G79" s="275">
        <f>SUM(G72:G78)</f>
        <v>0</v>
      </c>
      <c r="H79" s="279">
        <f>SUM(H72:H78)</f>
        <v>0</v>
      </c>
      <c r="I79" s="283">
        <f>SUM(I72:I78)</f>
        <v>15158010</v>
      </c>
      <c r="J79" s="275"/>
    </row>
  </sheetData>
  <mergeCells count="32">
    <mergeCell ref="A1:J1"/>
    <mergeCell ref="A2:J2"/>
    <mergeCell ref="A70:A71"/>
    <mergeCell ref="C70:D70"/>
    <mergeCell ref="E70:F70"/>
    <mergeCell ref="G70:H70"/>
    <mergeCell ref="I70:I71"/>
    <mergeCell ref="J70:J71"/>
    <mergeCell ref="J52:J53"/>
    <mergeCell ref="A36:A37"/>
    <mergeCell ref="C36:D36"/>
    <mergeCell ref="E36:F36"/>
    <mergeCell ref="G36:H36"/>
    <mergeCell ref="I36:I37"/>
    <mergeCell ref="J36:J37"/>
    <mergeCell ref="A52:A53"/>
    <mergeCell ref="C52:D52"/>
    <mergeCell ref="E52:F52"/>
    <mergeCell ref="G52:H52"/>
    <mergeCell ref="I52:I53"/>
    <mergeCell ref="J18:J19"/>
    <mergeCell ref="J5:J6"/>
    <mergeCell ref="A18:A19"/>
    <mergeCell ref="C18:D18"/>
    <mergeCell ref="E18:F18"/>
    <mergeCell ref="G18:H18"/>
    <mergeCell ref="I18:I19"/>
    <mergeCell ref="A5:A6"/>
    <mergeCell ref="C5:D5"/>
    <mergeCell ref="E5:F5"/>
    <mergeCell ref="G5:H5"/>
    <mergeCell ref="I5:I6"/>
  </mergeCells>
  <pageMargins left="0.70866141732283472" right="0.70866141732283472" top="0.74803149606299213" bottom="0.74803149606299213" header="0.31496062992125984" footer="0.31496062992125984"/>
  <pageSetup paperSize="9" firstPageNumber="19" orientation="landscape" useFirstPageNumber="1" r:id="rId1"/>
  <headerFooter>
    <oddHeader>&amp;R&amp;P</oddHead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view="pageBreakPreview" topLeftCell="B10" zoomScale="130" zoomScaleNormal="100" zoomScaleSheetLayoutView="130" workbookViewId="0">
      <selection activeCell="G6" sqref="G6"/>
    </sheetView>
  </sheetViews>
  <sheetFormatPr defaultColWidth="8.6640625" defaultRowHeight="20.25" x14ac:dyDescent="0.3"/>
  <cols>
    <col min="1" max="1" width="16.21875" style="303" customWidth="1"/>
    <col min="2" max="2" width="14.5546875" style="303" customWidth="1"/>
    <col min="3" max="3" width="12.109375" style="303" customWidth="1"/>
    <col min="4" max="5" width="12.77734375" style="303" customWidth="1"/>
    <col min="6" max="6" width="11.6640625" style="303" customWidth="1"/>
    <col min="7" max="7" width="14.109375" style="303" customWidth="1"/>
    <col min="8" max="8" width="13.77734375" style="303" customWidth="1"/>
    <col min="9" max="16384" width="8.6640625" style="303"/>
  </cols>
  <sheetData>
    <row r="1" spans="1:8" ht="41.25" thickBot="1" x14ac:dyDescent="0.35">
      <c r="A1" s="320" t="s">
        <v>398</v>
      </c>
      <c r="B1" s="321" t="s">
        <v>399</v>
      </c>
      <c r="C1" s="321" t="s">
        <v>400</v>
      </c>
      <c r="D1" s="321" t="s">
        <v>401</v>
      </c>
      <c r="E1" s="321" t="s">
        <v>402</v>
      </c>
      <c r="F1" s="321" t="s">
        <v>416</v>
      </c>
      <c r="G1" s="321" t="s">
        <v>403</v>
      </c>
      <c r="H1" s="321" t="s">
        <v>109</v>
      </c>
    </row>
    <row r="2" spans="1:8" ht="21" thickBot="1" x14ac:dyDescent="0.35">
      <c r="A2" s="322" t="s">
        <v>404</v>
      </c>
      <c r="B2" s="323">
        <v>22829578</v>
      </c>
      <c r="C2" s="323"/>
      <c r="D2" s="324">
        <f>250000</f>
        <v>250000</v>
      </c>
      <c r="E2" s="328">
        <f>B2+C2-D2</f>
        <v>22579578</v>
      </c>
      <c r="F2" s="323"/>
      <c r="G2" s="323">
        <f>21850034.4</f>
        <v>21850034.399999999</v>
      </c>
      <c r="H2" s="323">
        <f>B2-D2-G2</f>
        <v>729543.60000000149</v>
      </c>
    </row>
    <row r="3" spans="1:8" ht="41.25" thickBot="1" x14ac:dyDescent="0.35">
      <c r="A3" s="325" t="s">
        <v>405</v>
      </c>
      <c r="B3" s="323">
        <f>2691000</f>
        <v>2691000</v>
      </c>
      <c r="C3" s="323"/>
      <c r="D3" s="324"/>
      <c r="E3" s="323"/>
      <c r="F3" s="323"/>
      <c r="G3" s="323">
        <f>2615085</f>
        <v>2615085</v>
      </c>
      <c r="H3" s="323">
        <f>75915</f>
        <v>75915</v>
      </c>
    </row>
    <row r="4" spans="1:8" ht="41.25" thickBot="1" x14ac:dyDescent="0.35">
      <c r="A4" s="325" t="s">
        <v>406</v>
      </c>
      <c r="B4" s="323">
        <f>4428000+415980+3056640+422700+970560+1040700+2200980+504240+617580+120000+120000+382740+305640+524820+1628100+198120</f>
        <v>16936800</v>
      </c>
      <c r="C4" s="323">
        <v>384200</v>
      </c>
      <c r="D4" s="324">
        <f>63000+51000</f>
        <v>114000</v>
      </c>
      <c r="E4" s="323"/>
      <c r="F4" s="323"/>
      <c r="G4" s="323">
        <v>16384987.91</v>
      </c>
      <c r="H4" s="323">
        <f>B4+C4-D4-G4</f>
        <v>822012.08999999985</v>
      </c>
    </row>
    <row r="5" spans="1:8" ht="21" thickBot="1" x14ac:dyDescent="0.35">
      <c r="A5" s="325" t="s">
        <v>407</v>
      </c>
      <c r="B5" s="323">
        <f>366000+416000+86200+112000+34000+25800+126000+94000+11000+92800+184600+108200</f>
        <v>1656600</v>
      </c>
      <c r="C5" s="323">
        <f>8800+60000+60000</f>
        <v>128800</v>
      </c>
      <c r="D5" s="324">
        <f>23000+22232.2+10000+44000</f>
        <v>99232.2</v>
      </c>
      <c r="E5" s="323"/>
      <c r="F5" s="323"/>
      <c r="G5" s="323">
        <v>1142650</v>
      </c>
      <c r="H5" s="323">
        <f>B5+C5-D5-G5</f>
        <v>543517.80000000005</v>
      </c>
    </row>
    <row r="6" spans="1:8" ht="21" thickBot="1" x14ac:dyDescent="0.35">
      <c r="A6" s="325" t="s">
        <v>408</v>
      </c>
      <c r="B6" s="323">
        <f>1794029+137000+310000+35000+200000+9950+100000+1054850+1035000+45000+941000+20000+40000+329000+160000+690000+316000+101860</f>
        <v>7318689</v>
      </c>
      <c r="C6" s="323">
        <f>361841+103290+30000+30000+300000</f>
        <v>825131</v>
      </c>
      <c r="D6" s="324">
        <f>805758+20000+60000+200000+24122.4+179640+54000+6000</f>
        <v>1349520.4</v>
      </c>
      <c r="E6" s="323">
        <f t="shared" ref="E6:E13" si="0">B6+C6-D6</f>
        <v>6794299.5999999996</v>
      </c>
      <c r="F6" s="323">
        <v>235949</v>
      </c>
      <c r="G6" s="323">
        <v>5747053.9800000004</v>
      </c>
      <c r="H6" s="323">
        <f t="shared" ref="H6:H11" si="1">E6-G6</f>
        <v>1047245.6199999992</v>
      </c>
    </row>
    <row r="7" spans="1:8" ht="21" thickBot="1" x14ac:dyDescent="0.35">
      <c r="A7" s="325" t="s">
        <v>409</v>
      </c>
      <c r="B7" s="323">
        <f>900000+105000+10000+81000+22000+45000+1634252+100000+45000+280000+10000</f>
        <v>3232252</v>
      </c>
      <c r="C7" s="323">
        <f>441977+15000+7664.6+121000</f>
        <v>585641.6</v>
      </c>
      <c r="D7" s="324">
        <f>40980+15000+74280+22000+50000</f>
        <v>202260</v>
      </c>
      <c r="E7" s="323">
        <f>B7+C7-D7</f>
        <v>3615633.6</v>
      </c>
      <c r="F7" s="323">
        <v>358500.16</v>
      </c>
      <c r="G7" s="323">
        <v>2649836.7599999998</v>
      </c>
      <c r="H7" s="323">
        <f t="shared" si="1"/>
        <v>965796.84000000032</v>
      </c>
    </row>
    <row r="8" spans="1:8" ht="21" thickBot="1" x14ac:dyDescent="0.35">
      <c r="A8" s="325" t="s">
        <v>410</v>
      </c>
      <c r="B8" s="323">
        <f>795000+65000+139000+800000</f>
        <v>1799000</v>
      </c>
      <c r="C8" s="323">
        <f>230840</f>
        <v>230840</v>
      </c>
      <c r="D8" s="324"/>
      <c r="E8" s="323">
        <f>B8+C8-D8</f>
        <v>2029840</v>
      </c>
      <c r="F8" s="323"/>
      <c r="G8" s="323">
        <f>798412.87+43045+97823.22+616209.04</f>
        <v>1555490.13</v>
      </c>
      <c r="H8" s="323">
        <f t="shared" si="1"/>
        <v>474349.87000000011</v>
      </c>
    </row>
    <row r="9" spans="1:8" ht="21" thickBot="1" x14ac:dyDescent="0.35">
      <c r="A9" s="325" t="s">
        <v>411</v>
      </c>
      <c r="B9" s="323">
        <f>164800+22000+43000+20000+8000+44000</f>
        <v>301800</v>
      </c>
      <c r="C9" s="323">
        <f>318000</f>
        <v>318000</v>
      </c>
      <c r="D9" s="324"/>
      <c r="E9" s="323">
        <f t="shared" si="0"/>
        <v>619800</v>
      </c>
      <c r="F9" s="323"/>
      <c r="G9" s="323">
        <f>466600+22000+42990+18990+7990+34000</f>
        <v>592570</v>
      </c>
      <c r="H9" s="323">
        <f t="shared" si="1"/>
        <v>27230</v>
      </c>
    </row>
    <row r="10" spans="1:8" ht="41.25" thickBot="1" x14ac:dyDescent="0.35">
      <c r="A10" s="325" t="s">
        <v>412</v>
      </c>
      <c r="B10" s="323">
        <f>4638000</f>
        <v>4638000</v>
      </c>
      <c r="C10" s="323"/>
      <c r="D10" s="324"/>
      <c r="E10" s="323">
        <f t="shared" si="0"/>
        <v>4638000</v>
      </c>
      <c r="F10" s="328">
        <v>2881000</v>
      </c>
      <c r="G10" s="323">
        <f>1722000</f>
        <v>1722000</v>
      </c>
      <c r="H10" s="323">
        <f t="shared" si="1"/>
        <v>2916000</v>
      </c>
    </row>
    <row r="11" spans="1:8" ht="21" thickBot="1" x14ac:dyDescent="0.35">
      <c r="A11" s="325" t="s">
        <v>413</v>
      </c>
      <c r="B11" s="323">
        <f>30000+2906400+400000+759881</f>
        <v>4096281</v>
      </c>
      <c r="C11" s="323">
        <f>142400+40000</f>
        <v>182400</v>
      </c>
      <c r="D11" s="324">
        <f>640000</f>
        <v>640000</v>
      </c>
      <c r="E11" s="323">
        <f t="shared" si="0"/>
        <v>3638681</v>
      </c>
      <c r="F11" s="323"/>
      <c r="G11" s="323">
        <f>12000+3046241+399600+6243.45+40000</f>
        <v>3504084.45</v>
      </c>
      <c r="H11" s="323">
        <f t="shared" si="1"/>
        <v>134596.54999999981</v>
      </c>
    </row>
    <row r="12" spans="1:8" ht="21" thickBot="1" x14ac:dyDescent="0.35">
      <c r="A12" s="325" t="s">
        <v>414</v>
      </c>
      <c r="B12" s="323"/>
      <c r="C12" s="323"/>
      <c r="D12" s="324"/>
      <c r="E12" s="323">
        <f t="shared" si="0"/>
        <v>0</v>
      </c>
      <c r="F12" s="323"/>
      <c r="G12" s="323"/>
      <c r="H12" s="323"/>
    </row>
    <row r="13" spans="1:8" ht="21" thickBot="1" x14ac:dyDescent="0.35">
      <c r="A13" s="322" t="s">
        <v>415</v>
      </c>
      <c r="B13" s="326">
        <f>SUM(B2:B12)</f>
        <v>65500000</v>
      </c>
      <c r="C13" s="326">
        <f>SUM(C2:C12)</f>
        <v>2655012.6</v>
      </c>
      <c r="D13" s="327">
        <f>SUM(D2:D12)</f>
        <v>2655012.5999999996</v>
      </c>
      <c r="E13" s="328">
        <f t="shared" si="0"/>
        <v>65499999.999999993</v>
      </c>
      <c r="F13" s="328">
        <f>SUM(F2:F12)</f>
        <v>3475449.16</v>
      </c>
      <c r="G13" s="326">
        <f>SUM(G2:G12)</f>
        <v>57763792.63000001</v>
      </c>
      <c r="H13" s="326">
        <f>SUM(H2:H12)</f>
        <v>7736207.3700000001</v>
      </c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30" zoomScaleNormal="130" workbookViewId="0">
      <selection activeCell="A29" sqref="A29:H29"/>
    </sheetView>
  </sheetViews>
  <sheetFormatPr defaultColWidth="6.77734375" defaultRowHeight="20.25" x14ac:dyDescent="0.3"/>
  <cols>
    <col min="1" max="1" width="4.44140625" style="95" customWidth="1"/>
    <col min="2" max="2" width="34.5546875" style="96" customWidth="1"/>
    <col min="3" max="3" width="4.77734375" style="95" customWidth="1"/>
    <col min="4" max="4" width="9.6640625" style="95" customWidth="1"/>
    <col min="5" max="5" width="10.5546875" style="95" customWidth="1"/>
    <col min="6" max="6" width="10.6640625" style="97" customWidth="1"/>
    <col min="7" max="7" width="10.77734375" style="99" customWidth="1"/>
    <col min="8" max="8" width="11.44140625" style="100" customWidth="1"/>
    <col min="9" max="9" width="14.44140625" style="95" customWidth="1"/>
    <col min="10" max="16384" width="6.77734375" style="90"/>
  </cols>
  <sheetData>
    <row r="1" spans="1:9" s="83" customFormat="1" ht="23.25" customHeight="1" x14ac:dyDescent="0.3">
      <c r="A1" s="385" t="s">
        <v>225</v>
      </c>
      <c r="B1" s="385"/>
      <c r="C1" s="385"/>
      <c r="D1" s="385"/>
      <c r="E1" s="385"/>
      <c r="F1" s="385"/>
      <c r="G1" s="385"/>
      <c r="H1" s="385"/>
      <c r="I1" s="385"/>
    </row>
    <row r="2" spans="1:9" s="83" customFormat="1" ht="23.25" customHeight="1" x14ac:dyDescent="0.3">
      <c r="A2" s="82"/>
      <c r="B2" s="82"/>
      <c r="C2" s="82"/>
      <c r="D2" s="82"/>
      <c r="E2" s="82"/>
      <c r="F2" s="82"/>
      <c r="G2" s="82"/>
      <c r="H2" s="82"/>
      <c r="I2" s="82"/>
    </row>
    <row r="3" spans="1:9" s="86" customFormat="1" ht="51" customHeight="1" x14ac:dyDescent="0.3">
      <c r="A3" s="84" t="s">
        <v>102</v>
      </c>
      <c r="B3" s="84" t="s">
        <v>103</v>
      </c>
      <c r="C3" s="84" t="s">
        <v>104</v>
      </c>
      <c r="D3" s="84" t="s">
        <v>105</v>
      </c>
      <c r="E3" s="84" t="s">
        <v>106</v>
      </c>
      <c r="F3" s="85" t="s">
        <v>107</v>
      </c>
      <c r="G3" s="85" t="s">
        <v>224</v>
      </c>
      <c r="H3" s="85" t="s">
        <v>109</v>
      </c>
      <c r="I3" s="84" t="s">
        <v>4</v>
      </c>
    </row>
    <row r="4" spans="1:9" ht="96.6" customHeight="1" x14ac:dyDescent="0.3">
      <c r="A4" s="87">
        <v>1</v>
      </c>
      <c r="B4" s="88" t="s">
        <v>194</v>
      </c>
      <c r="C4" s="87">
        <v>1</v>
      </c>
      <c r="D4" s="87" t="s">
        <v>195</v>
      </c>
      <c r="E4" s="87" t="s">
        <v>196</v>
      </c>
      <c r="F4" s="89">
        <v>690000</v>
      </c>
      <c r="G4" s="94">
        <v>524000</v>
      </c>
      <c r="H4" s="94">
        <f t="shared" ref="H4:H28" si="0">F4-G4</f>
        <v>166000</v>
      </c>
      <c r="I4" s="101" t="s">
        <v>226</v>
      </c>
    </row>
    <row r="5" spans="1:9" ht="60.6" customHeight="1" x14ac:dyDescent="0.3">
      <c r="A5" s="87">
        <v>2</v>
      </c>
      <c r="B5" s="91" t="s">
        <v>197</v>
      </c>
      <c r="C5" s="87">
        <v>11</v>
      </c>
      <c r="D5" s="87" t="s">
        <v>130</v>
      </c>
      <c r="E5" s="87"/>
      <c r="F5" s="92">
        <v>131000</v>
      </c>
      <c r="G5" s="92">
        <v>131000</v>
      </c>
      <c r="H5" s="94">
        <f t="shared" si="0"/>
        <v>0</v>
      </c>
      <c r="I5" s="101" t="s">
        <v>226</v>
      </c>
    </row>
    <row r="6" spans="1:9" ht="45" customHeight="1" x14ac:dyDescent="0.3">
      <c r="A6" s="87">
        <v>3</v>
      </c>
      <c r="B6" s="91" t="s">
        <v>198</v>
      </c>
      <c r="C6" s="87">
        <v>3</v>
      </c>
      <c r="D6" s="87" t="s">
        <v>130</v>
      </c>
      <c r="E6" s="87"/>
      <c r="F6" s="92">
        <v>227000</v>
      </c>
      <c r="G6" s="92">
        <v>222000</v>
      </c>
      <c r="H6" s="94">
        <f t="shared" si="0"/>
        <v>5000</v>
      </c>
      <c r="I6" s="101" t="s">
        <v>226</v>
      </c>
    </row>
    <row r="7" spans="1:9" ht="48.75" customHeight="1" x14ac:dyDescent="0.3">
      <c r="A7" s="87">
        <v>4</v>
      </c>
      <c r="B7" s="91" t="s">
        <v>199</v>
      </c>
      <c r="C7" s="87">
        <v>5</v>
      </c>
      <c r="D7" s="87" t="s">
        <v>130</v>
      </c>
      <c r="E7" s="87"/>
      <c r="F7" s="92">
        <v>491000</v>
      </c>
      <c r="G7" s="92">
        <v>490000</v>
      </c>
      <c r="H7" s="94">
        <f t="shared" si="0"/>
        <v>1000</v>
      </c>
      <c r="I7" s="101" t="s">
        <v>226</v>
      </c>
    </row>
    <row r="8" spans="1:9" ht="54.6" customHeight="1" x14ac:dyDescent="0.3">
      <c r="A8" s="87">
        <v>5</v>
      </c>
      <c r="B8" s="91" t="s">
        <v>200</v>
      </c>
      <c r="C8" s="87">
        <v>7</v>
      </c>
      <c r="D8" s="87" t="s">
        <v>130</v>
      </c>
      <c r="E8" s="87"/>
      <c r="F8" s="92">
        <v>472000</v>
      </c>
      <c r="G8" s="92">
        <v>470000</v>
      </c>
      <c r="H8" s="94">
        <f t="shared" si="0"/>
        <v>2000</v>
      </c>
      <c r="I8" s="101" t="s">
        <v>226</v>
      </c>
    </row>
    <row r="9" spans="1:9" ht="63" customHeight="1" x14ac:dyDescent="0.3">
      <c r="A9" s="87">
        <v>6</v>
      </c>
      <c r="B9" s="91" t="s">
        <v>201</v>
      </c>
      <c r="C9" s="87">
        <v>1</v>
      </c>
      <c r="D9" s="87" t="s">
        <v>130</v>
      </c>
      <c r="E9" s="87"/>
      <c r="F9" s="92">
        <v>491000</v>
      </c>
      <c r="G9" s="92">
        <v>485000</v>
      </c>
      <c r="H9" s="94">
        <f t="shared" si="0"/>
        <v>6000</v>
      </c>
      <c r="I9" s="101" t="s">
        <v>226</v>
      </c>
    </row>
    <row r="10" spans="1:9" ht="123.6" customHeight="1" x14ac:dyDescent="0.3">
      <c r="A10" s="87">
        <v>7</v>
      </c>
      <c r="B10" s="91" t="s">
        <v>202</v>
      </c>
      <c r="C10" s="87">
        <v>1</v>
      </c>
      <c r="D10" s="87" t="s">
        <v>130</v>
      </c>
      <c r="E10" s="87"/>
      <c r="F10" s="92">
        <v>134000</v>
      </c>
      <c r="G10" s="92">
        <v>134000</v>
      </c>
      <c r="H10" s="94">
        <f t="shared" si="0"/>
        <v>0</v>
      </c>
      <c r="I10" s="101" t="s">
        <v>226</v>
      </c>
    </row>
    <row r="11" spans="1:9" ht="54.6" customHeight="1" x14ac:dyDescent="0.3">
      <c r="A11" s="87">
        <v>8</v>
      </c>
      <c r="B11" s="91" t="s">
        <v>203</v>
      </c>
      <c r="C11" s="87">
        <v>9</v>
      </c>
      <c r="D11" s="87" t="s">
        <v>130</v>
      </c>
      <c r="E11" s="87"/>
      <c r="F11" s="93">
        <v>528000</v>
      </c>
      <c r="G11" s="94">
        <v>468000</v>
      </c>
      <c r="H11" s="94">
        <f t="shared" si="0"/>
        <v>60000</v>
      </c>
      <c r="I11" s="101" t="s">
        <v>226</v>
      </c>
    </row>
    <row r="12" spans="1:9" ht="123.6" customHeight="1" x14ac:dyDescent="0.3">
      <c r="A12" s="87">
        <v>9</v>
      </c>
      <c r="B12" s="91" t="s">
        <v>204</v>
      </c>
      <c r="C12" s="87">
        <v>4</v>
      </c>
      <c r="D12" s="87" t="s">
        <v>130</v>
      </c>
      <c r="E12" s="87"/>
      <c r="F12" s="93">
        <v>58000</v>
      </c>
      <c r="G12" s="94">
        <v>57000</v>
      </c>
      <c r="H12" s="94">
        <f t="shared" si="0"/>
        <v>1000</v>
      </c>
      <c r="I12" s="101" t="s">
        <v>226</v>
      </c>
    </row>
    <row r="13" spans="1:9" ht="108" customHeight="1" x14ac:dyDescent="0.3">
      <c r="A13" s="87">
        <v>10</v>
      </c>
      <c r="B13" s="91" t="s">
        <v>205</v>
      </c>
      <c r="C13" s="87">
        <v>17</v>
      </c>
      <c r="D13" s="87" t="s">
        <v>130</v>
      </c>
      <c r="E13" s="87"/>
      <c r="F13" s="93">
        <v>392000</v>
      </c>
      <c r="G13" s="94">
        <v>379000</v>
      </c>
      <c r="H13" s="94">
        <f t="shared" si="0"/>
        <v>13000</v>
      </c>
      <c r="I13" s="101" t="s">
        <v>226</v>
      </c>
    </row>
    <row r="14" spans="1:9" ht="135.6" customHeight="1" x14ac:dyDescent="0.3">
      <c r="A14" s="87">
        <v>11</v>
      </c>
      <c r="B14" s="91" t="s">
        <v>206</v>
      </c>
      <c r="C14" s="87">
        <v>1</v>
      </c>
      <c r="D14" s="87" t="s">
        <v>207</v>
      </c>
      <c r="E14" s="87" t="s">
        <v>208</v>
      </c>
      <c r="F14" s="93">
        <v>551000</v>
      </c>
      <c r="G14" s="93">
        <v>440000</v>
      </c>
      <c r="H14" s="94">
        <f t="shared" si="0"/>
        <v>111000</v>
      </c>
      <c r="I14" s="101" t="s">
        <v>226</v>
      </c>
    </row>
    <row r="15" spans="1:9" ht="124.5" customHeight="1" x14ac:dyDescent="0.3">
      <c r="A15" s="87">
        <v>12</v>
      </c>
      <c r="B15" s="91" t="s">
        <v>209</v>
      </c>
      <c r="C15" s="87">
        <v>19</v>
      </c>
      <c r="D15" s="87" t="s">
        <v>207</v>
      </c>
      <c r="E15" s="87" t="s">
        <v>208</v>
      </c>
      <c r="F15" s="93">
        <v>280000</v>
      </c>
      <c r="G15" s="93">
        <v>278000</v>
      </c>
      <c r="H15" s="94">
        <f t="shared" si="0"/>
        <v>2000</v>
      </c>
      <c r="I15" s="101" t="s">
        <v>226</v>
      </c>
    </row>
    <row r="16" spans="1:9" ht="62.25" customHeight="1" x14ac:dyDescent="0.3">
      <c r="A16" s="87">
        <v>13</v>
      </c>
      <c r="B16" s="91" t="s">
        <v>210</v>
      </c>
      <c r="C16" s="87">
        <v>11</v>
      </c>
      <c r="D16" s="87" t="s">
        <v>207</v>
      </c>
      <c r="E16" s="87" t="s">
        <v>208</v>
      </c>
      <c r="F16" s="93">
        <v>327800</v>
      </c>
      <c r="G16" s="93">
        <v>327000</v>
      </c>
      <c r="H16" s="94">
        <f t="shared" si="0"/>
        <v>800</v>
      </c>
      <c r="I16" s="101" t="s">
        <v>226</v>
      </c>
    </row>
    <row r="17" spans="1:9" ht="109.5" customHeight="1" x14ac:dyDescent="0.3">
      <c r="A17" s="87">
        <v>14</v>
      </c>
      <c r="B17" s="91" t="s">
        <v>211</v>
      </c>
      <c r="C17" s="87">
        <v>6</v>
      </c>
      <c r="D17" s="87" t="s">
        <v>207</v>
      </c>
      <c r="E17" s="87" t="s">
        <v>208</v>
      </c>
      <c r="F17" s="93">
        <v>43400</v>
      </c>
      <c r="G17" s="93">
        <v>42000</v>
      </c>
      <c r="H17" s="94">
        <f t="shared" si="0"/>
        <v>1400</v>
      </c>
      <c r="I17" s="101" t="s">
        <v>226</v>
      </c>
    </row>
    <row r="18" spans="1:9" ht="132.75" customHeight="1" x14ac:dyDescent="0.3">
      <c r="A18" s="87">
        <v>15</v>
      </c>
      <c r="B18" s="91" t="s">
        <v>212</v>
      </c>
      <c r="C18" s="87">
        <v>6</v>
      </c>
      <c r="D18" s="87" t="s">
        <v>207</v>
      </c>
      <c r="E18" s="87" t="s">
        <v>208</v>
      </c>
      <c r="F18" s="93">
        <v>270000</v>
      </c>
      <c r="G18" s="93">
        <v>269000</v>
      </c>
      <c r="H18" s="94">
        <f t="shared" si="0"/>
        <v>1000</v>
      </c>
      <c r="I18" s="101" t="s">
        <v>226</v>
      </c>
    </row>
    <row r="19" spans="1:9" ht="108.75" customHeight="1" x14ac:dyDescent="0.3">
      <c r="A19" s="87">
        <v>16</v>
      </c>
      <c r="B19" s="91" t="s">
        <v>213</v>
      </c>
      <c r="C19" s="87">
        <v>5</v>
      </c>
      <c r="D19" s="87" t="s">
        <v>207</v>
      </c>
      <c r="E19" s="87" t="s">
        <v>208</v>
      </c>
      <c r="F19" s="93">
        <v>413000</v>
      </c>
      <c r="G19" s="93">
        <v>410000</v>
      </c>
      <c r="H19" s="94">
        <f t="shared" si="0"/>
        <v>3000</v>
      </c>
      <c r="I19" s="101" t="s">
        <v>226</v>
      </c>
    </row>
    <row r="20" spans="1:9" ht="86.45" customHeight="1" x14ac:dyDescent="0.3">
      <c r="A20" s="87">
        <v>17</v>
      </c>
      <c r="B20" s="91" t="s">
        <v>214</v>
      </c>
      <c r="C20" s="87">
        <v>12</v>
      </c>
      <c r="D20" s="87" t="s">
        <v>207</v>
      </c>
      <c r="E20" s="87" t="s">
        <v>208</v>
      </c>
      <c r="F20" s="93">
        <v>83000</v>
      </c>
      <c r="G20" s="93">
        <v>67000</v>
      </c>
      <c r="H20" s="94">
        <f t="shared" si="0"/>
        <v>16000</v>
      </c>
      <c r="I20" s="101" t="s">
        <v>226</v>
      </c>
    </row>
    <row r="21" spans="1:9" ht="51.75" customHeight="1" x14ac:dyDescent="0.3">
      <c r="A21" s="87">
        <v>18</v>
      </c>
      <c r="B21" s="91" t="s">
        <v>215</v>
      </c>
      <c r="C21" s="87">
        <v>1</v>
      </c>
      <c r="D21" s="87" t="s">
        <v>207</v>
      </c>
      <c r="E21" s="87" t="s">
        <v>208</v>
      </c>
      <c r="F21" s="93">
        <v>282000</v>
      </c>
      <c r="G21" s="93">
        <v>280000</v>
      </c>
      <c r="H21" s="94">
        <f t="shared" si="0"/>
        <v>2000</v>
      </c>
      <c r="I21" s="101" t="s">
        <v>226</v>
      </c>
    </row>
    <row r="22" spans="1:9" ht="83.45" customHeight="1" x14ac:dyDescent="0.3">
      <c r="A22" s="87">
        <v>19</v>
      </c>
      <c r="B22" s="91" t="s">
        <v>216</v>
      </c>
      <c r="C22" s="87">
        <v>16</v>
      </c>
      <c r="D22" s="87" t="s">
        <v>217</v>
      </c>
      <c r="E22" s="87"/>
      <c r="F22" s="93">
        <v>352000</v>
      </c>
      <c r="G22" s="93">
        <v>350000</v>
      </c>
      <c r="H22" s="94">
        <f t="shared" si="0"/>
        <v>2000</v>
      </c>
      <c r="I22" s="101" t="s">
        <v>226</v>
      </c>
    </row>
    <row r="23" spans="1:9" ht="141" customHeight="1" x14ac:dyDescent="0.3">
      <c r="A23" s="87">
        <v>20</v>
      </c>
      <c r="B23" s="81" t="s">
        <v>218</v>
      </c>
      <c r="C23" s="87">
        <v>1</v>
      </c>
      <c r="D23" s="87" t="s">
        <v>118</v>
      </c>
      <c r="E23" s="87" t="s">
        <v>119</v>
      </c>
      <c r="F23" s="94">
        <v>498200</v>
      </c>
      <c r="G23" s="98">
        <v>490000</v>
      </c>
      <c r="H23" s="94">
        <f t="shared" si="0"/>
        <v>8200</v>
      </c>
      <c r="I23" s="101" t="s">
        <v>226</v>
      </c>
    </row>
    <row r="24" spans="1:9" ht="143.44999999999999" customHeight="1" x14ac:dyDescent="0.3">
      <c r="A24" s="87">
        <v>21</v>
      </c>
      <c r="B24" s="81" t="s">
        <v>219</v>
      </c>
      <c r="C24" s="87">
        <v>3</v>
      </c>
      <c r="D24" s="87" t="s">
        <v>118</v>
      </c>
      <c r="E24" s="87" t="s">
        <v>119</v>
      </c>
      <c r="F24" s="94">
        <v>492600</v>
      </c>
      <c r="G24" s="98">
        <v>490000</v>
      </c>
      <c r="H24" s="94">
        <f t="shared" si="0"/>
        <v>2600</v>
      </c>
      <c r="I24" s="101" t="s">
        <v>226</v>
      </c>
    </row>
    <row r="25" spans="1:9" ht="136.15" customHeight="1" x14ac:dyDescent="0.3">
      <c r="A25" s="87">
        <v>22</v>
      </c>
      <c r="B25" s="81" t="s">
        <v>220</v>
      </c>
      <c r="C25" s="87">
        <v>7</v>
      </c>
      <c r="D25" s="87" t="s">
        <v>118</v>
      </c>
      <c r="E25" s="87" t="s">
        <v>119</v>
      </c>
      <c r="F25" s="94">
        <v>488000</v>
      </c>
      <c r="G25" s="98">
        <v>485000</v>
      </c>
      <c r="H25" s="94">
        <f t="shared" si="0"/>
        <v>3000</v>
      </c>
      <c r="I25" s="101" t="s">
        <v>226</v>
      </c>
    </row>
    <row r="26" spans="1:9" ht="150.6" customHeight="1" x14ac:dyDescent="0.3">
      <c r="A26" s="87">
        <v>23</v>
      </c>
      <c r="B26" s="81" t="s">
        <v>221</v>
      </c>
      <c r="C26" s="87">
        <v>11</v>
      </c>
      <c r="D26" s="87" t="s">
        <v>118</v>
      </c>
      <c r="E26" s="87" t="s">
        <v>119</v>
      </c>
      <c r="F26" s="94">
        <v>488000</v>
      </c>
      <c r="G26" s="98">
        <v>485000</v>
      </c>
      <c r="H26" s="94">
        <f t="shared" si="0"/>
        <v>3000</v>
      </c>
      <c r="I26" s="101" t="s">
        <v>226</v>
      </c>
    </row>
    <row r="27" spans="1:9" ht="141" customHeight="1" x14ac:dyDescent="0.3">
      <c r="A27" s="87">
        <v>24</v>
      </c>
      <c r="B27" s="81" t="s">
        <v>222</v>
      </c>
      <c r="C27" s="87">
        <v>13</v>
      </c>
      <c r="D27" s="87" t="s">
        <v>118</v>
      </c>
      <c r="E27" s="87" t="s">
        <v>119</v>
      </c>
      <c r="F27" s="94">
        <v>498000</v>
      </c>
      <c r="G27" s="98">
        <v>498000</v>
      </c>
      <c r="H27" s="94">
        <f t="shared" si="0"/>
        <v>0</v>
      </c>
      <c r="I27" s="101" t="s">
        <v>226</v>
      </c>
    </row>
    <row r="28" spans="1:9" ht="110.25" customHeight="1" x14ac:dyDescent="0.3">
      <c r="A28" s="87">
        <v>25</v>
      </c>
      <c r="B28" s="81" t="s">
        <v>223</v>
      </c>
      <c r="C28" s="87">
        <v>16</v>
      </c>
      <c r="D28" s="87" t="s">
        <v>118</v>
      </c>
      <c r="E28" s="87" t="s">
        <v>119</v>
      </c>
      <c r="F28" s="94">
        <v>497400</v>
      </c>
      <c r="G28" s="98">
        <v>490000</v>
      </c>
      <c r="H28" s="94">
        <f t="shared" si="0"/>
        <v>7400</v>
      </c>
      <c r="I28" s="101" t="s">
        <v>226</v>
      </c>
    </row>
    <row r="29" spans="1:9" x14ac:dyDescent="0.3">
      <c r="A29" s="386" t="s">
        <v>82</v>
      </c>
      <c r="B29" s="386"/>
      <c r="C29" s="386"/>
      <c r="D29" s="386"/>
      <c r="E29" s="386"/>
      <c r="F29" s="102">
        <f>SUM(F4:F28)</f>
        <v>9178400</v>
      </c>
      <c r="G29" s="94">
        <f>SUM(G4:G28)</f>
        <v>8761000</v>
      </c>
      <c r="H29" s="94">
        <f>SUM(H4:H28)</f>
        <v>417400</v>
      </c>
    </row>
  </sheetData>
  <mergeCells count="2">
    <mergeCell ref="A1:I1"/>
    <mergeCell ref="A29:E29"/>
  </mergeCells>
  <pageMargins left="0.59055118110236227" right="0.59055118110236227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view="pageBreakPreview" zoomScale="110" zoomScaleNormal="100" zoomScaleSheetLayoutView="110" workbookViewId="0">
      <selection activeCell="A2" sqref="A2:H3"/>
    </sheetView>
  </sheetViews>
  <sheetFormatPr defaultRowHeight="20.25" x14ac:dyDescent="0.3"/>
  <cols>
    <col min="1" max="1" width="6" customWidth="1"/>
    <col min="2" max="2" width="23.6640625" style="233" customWidth="1"/>
    <col min="3" max="3" width="13.77734375" customWidth="1"/>
    <col min="4" max="4" width="14.21875" customWidth="1"/>
    <col min="5" max="5" width="20.44140625" style="247" customWidth="1"/>
    <col min="6" max="7" width="12.109375" customWidth="1"/>
    <col min="8" max="8" width="12.21875" style="247" customWidth="1"/>
  </cols>
  <sheetData>
    <row r="2" spans="1:9" x14ac:dyDescent="0.3">
      <c r="A2" s="329" t="s">
        <v>81</v>
      </c>
      <c r="B2" s="329"/>
      <c r="C2" s="329"/>
      <c r="D2" s="329"/>
      <c r="E2" s="329"/>
      <c r="F2" s="329"/>
      <c r="G2" s="329"/>
      <c r="H2" s="329"/>
      <c r="I2" s="235"/>
    </row>
    <row r="3" spans="1:9" x14ac:dyDescent="0.3">
      <c r="A3" s="329" t="s">
        <v>337</v>
      </c>
      <c r="B3" s="329"/>
      <c r="C3" s="329"/>
      <c r="D3" s="329"/>
      <c r="E3" s="329"/>
      <c r="F3" s="329"/>
      <c r="G3" s="329"/>
      <c r="H3" s="329"/>
      <c r="I3" s="235"/>
    </row>
    <row r="4" spans="1:9" x14ac:dyDescent="0.3">
      <c r="B4" s="233" t="s">
        <v>329</v>
      </c>
    </row>
    <row r="5" spans="1:9" ht="43.15" customHeight="1" x14ac:dyDescent="0.3">
      <c r="A5" s="347" t="s">
        <v>328</v>
      </c>
      <c r="B5" s="348"/>
      <c r="C5" s="351" t="s">
        <v>338</v>
      </c>
      <c r="D5" s="351" t="s">
        <v>80</v>
      </c>
      <c r="E5" s="333" t="s">
        <v>327</v>
      </c>
      <c r="F5" s="351" t="s">
        <v>80</v>
      </c>
      <c r="G5" s="351" t="s">
        <v>85</v>
      </c>
      <c r="H5" s="351" t="s">
        <v>86</v>
      </c>
    </row>
    <row r="6" spans="1:9" ht="40.9" customHeight="1" x14ac:dyDescent="0.3">
      <c r="A6" s="349"/>
      <c r="B6" s="350"/>
      <c r="C6" s="352"/>
      <c r="D6" s="352"/>
      <c r="E6" s="334"/>
      <c r="F6" s="352"/>
      <c r="G6" s="352"/>
      <c r="H6" s="352"/>
    </row>
    <row r="7" spans="1:9" x14ac:dyDescent="0.3">
      <c r="A7" s="71">
        <v>1</v>
      </c>
      <c r="B7" s="70" t="s">
        <v>325</v>
      </c>
      <c r="C7" s="71">
        <v>71</v>
      </c>
      <c r="D7" s="73">
        <v>33108300</v>
      </c>
      <c r="E7" s="71">
        <f>7+1</f>
        <v>8</v>
      </c>
      <c r="F7" s="68">
        <f>1757000+759881</f>
        <v>2516881</v>
      </c>
      <c r="G7" s="68">
        <f>1722200+6243.45</f>
        <v>1728443.45</v>
      </c>
      <c r="H7" s="254">
        <f>G7*100/F7</f>
        <v>68.674023523559512</v>
      </c>
    </row>
    <row r="8" spans="1:9" x14ac:dyDescent="0.3">
      <c r="A8" s="71">
        <v>2</v>
      </c>
      <c r="B8" s="70" t="s">
        <v>74</v>
      </c>
      <c r="C8" s="71">
        <f>10+1</f>
        <v>11</v>
      </c>
      <c r="D8" s="73">
        <f>325000+800000</f>
        <v>1125000</v>
      </c>
      <c r="E8" s="237">
        <f>2+1</f>
        <v>3</v>
      </c>
      <c r="F8" s="236">
        <f>316000+40000</f>
        <v>356000</v>
      </c>
      <c r="G8" s="236">
        <f>262420+2005</f>
        <v>264425</v>
      </c>
      <c r="H8" s="254">
        <f t="shared" ref="H8:H13" si="0">G8*100/F8</f>
        <v>74.276685393258433</v>
      </c>
    </row>
    <row r="9" spans="1:9" x14ac:dyDescent="0.3">
      <c r="A9" s="71">
        <v>3</v>
      </c>
      <c r="B9" s="70" t="s">
        <v>75</v>
      </c>
      <c r="C9" s="71">
        <f>42+9</f>
        <v>51</v>
      </c>
      <c r="D9" s="73">
        <f>10849000+360000</f>
        <v>11209000</v>
      </c>
      <c r="E9" s="237">
        <f>4+5</f>
        <v>9</v>
      </c>
      <c r="F9" s="236">
        <f>5350903+457844</f>
        <v>5808747</v>
      </c>
      <c r="G9" s="236">
        <f>312054+1156</f>
        <v>313210</v>
      </c>
      <c r="H9" s="254">
        <f t="shared" si="0"/>
        <v>5.3920406586825012</v>
      </c>
    </row>
    <row r="10" spans="1:9" x14ac:dyDescent="0.3">
      <c r="A10" s="71">
        <v>4</v>
      </c>
      <c r="B10" s="70" t="s">
        <v>76</v>
      </c>
      <c r="C10" s="71">
        <f>15+2</f>
        <v>17</v>
      </c>
      <c r="D10" s="73">
        <f>1805000+1375000</f>
        <v>3180000</v>
      </c>
      <c r="E10" s="237">
        <f>4</f>
        <v>4</v>
      </c>
      <c r="F10" s="236">
        <f>1420000+101860</f>
        <v>1521860</v>
      </c>
      <c r="G10" s="236">
        <f>728764+96800</f>
        <v>825564</v>
      </c>
      <c r="H10" s="254">
        <f t="shared" si="0"/>
        <v>54.247039806552507</v>
      </c>
    </row>
    <row r="11" spans="1:9" x14ac:dyDescent="0.3">
      <c r="A11" s="71">
        <v>5</v>
      </c>
      <c r="B11" s="70" t="s">
        <v>77</v>
      </c>
      <c r="C11" s="71">
        <v>7</v>
      </c>
      <c r="D11" s="73">
        <v>282000</v>
      </c>
      <c r="E11" s="237">
        <f>2</f>
        <v>2</v>
      </c>
      <c r="F11" s="236">
        <f>90000</f>
        <v>90000</v>
      </c>
      <c r="G11" s="236" t="s">
        <v>84</v>
      </c>
      <c r="H11" s="254"/>
    </row>
    <row r="12" spans="1:9" x14ac:dyDescent="0.3">
      <c r="A12" s="71">
        <v>6</v>
      </c>
      <c r="B12" s="70" t="s">
        <v>78</v>
      </c>
      <c r="C12" s="71">
        <v>3</v>
      </c>
      <c r="D12" s="73">
        <v>230000</v>
      </c>
      <c r="E12" s="237"/>
      <c r="F12" s="238"/>
      <c r="G12" s="238"/>
      <c r="H12" s="254"/>
    </row>
    <row r="13" spans="1:9" x14ac:dyDescent="0.3">
      <c r="A13" s="239">
        <v>7</v>
      </c>
      <c r="B13" s="240" t="s">
        <v>79</v>
      </c>
      <c r="C13" s="239">
        <f>54+4</f>
        <v>58</v>
      </c>
      <c r="D13" s="241">
        <f>10117200+110000</f>
        <v>10227200</v>
      </c>
      <c r="E13" s="251">
        <f>11+2</f>
        <v>13</v>
      </c>
      <c r="F13" s="242">
        <f>200000+9950+660029+40980-192340-200000</f>
        <v>518619</v>
      </c>
      <c r="G13" s="242">
        <f>447034+9588</f>
        <v>456622</v>
      </c>
      <c r="H13" s="254">
        <f t="shared" si="0"/>
        <v>88.045752276719512</v>
      </c>
    </row>
    <row r="14" spans="1:9" s="143" customFormat="1" x14ac:dyDescent="0.3">
      <c r="B14" s="243"/>
      <c r="E14" s="244"/>
      <c r="H14" s="244"/>
    </row>
    <row r="16" spans="1:9" x14ac:dyDescent="0.3">
      <c r="A16" s="329" t="s">
        <v>330</v>
      </c>
      <c r="B16" s="329"/>
      <c r="C16" s="329"/>
      <c r="D16" s="329"/>
      <c r="E16" s="329"/>
      <c r="F16" s="329"/>
      <c r="G16" s="329"/>
      <c r="H16" s="329"/>
    </row>
    <row r="17" spans="1:8" x14ac:dyDescent="0.3">
      <c r="A17" s="329" t="s">
        <v>337</v>
      </c>
      <c r="B17" s="329"/>
      <c r="C17" s="329"/>
      <c r="D17" s="329"/>
      <c r="E17" s="329"/>
      <c r="F17" s="329"/>
      <c r="G17" s="329"/>
      <c r="H17" s="329"/>
    </row>
    <row r="18" spans="1:8" x14ac:dyDescent="0.3">
      <c r="B18" s="233" t="s">
        <v>334</v>
      </c>
    </row>
    <row r="19" spans="1:8" ht="21" customHeight="1" x14ac:dyDescent="0.3">
      <c r="A19" s="347" t="s">
        <v>328</v>
      </c>
      <c r="B19" s="348"/>
      <c r="C19" s="351" t="s">
        <v>338</v>
      </c>
      <c r="D19" s="351" t="s">
        <v>80</v>
      </c>
      <c r="E19" s="333" t="s">
        <v>331</v>
      </c>
      <c r="F19" s="351" t="s">
        <v>80</v>
      </c>
      <c r="G19" s="351" t="s">
        <v>85</v>
      </c>
      <c r="H19" s="351" t="s">
        <v>86</v>
      </c>
    </row>
    <row r="20" spans="1:8" ht="75" customHeight="1" x14ac:dyDescent="0.3">
      <c r="A20" s="349"/>
      <c r="B20" s="350"/>
      <c r="C20" s="352"/>
      <c r="D20" s="352"/>
      <c r="E20" s="334"/>
      <c r="F20" s="352"/>
      <c r="G20" s="352"/>
      <c r="H20" s="352"/>
    </row>
    <row r="21" spans="1:8" x14ac:dyDescent="0.3">
      <c r="A21" s="71">
        <v>1</v>
      </c>
      <c r="B21" s="70" t="s">
        <v>325</v>
      </c>
      <c r="C21" s="71">
        <v>71</v>
      </c>
      <c r="D21" s="73">
        <v>33108300</v>
      </c>
      <c r="E21" s="71">
        <v>18</v>
      </c>
      <c r="F21" s="68">
        <v>5526200</v>
      </c>
      <c r="G21" s="68">
        <v>5299000</v>
      </c>
      <c r="H21" s="254">
        <f t="shared" ref="H21" si="1">G21*100/F21</f>
        <v>95.888675762730273</v>
      </c>
    </row>
    <row r="22" spans="1:8" x14ac:dyDescent="0.3">
      <c r="A22" s="71">
        <v>2</v>
      </c>
      <c r="B22" s="70" t="s">
        <v>74</v>
      </c>
      <c r="C22" s="71">
        <f>10+1</f>
        <v>11</v>
      </c>
      <c r="D22" s="73">
        <f>325000+800000</f>
        <v>1125000</v>
      </c>
      <c r="E22" s="237"/>
      <c r="F22" s="236"/>
      <c r="G22" s="236"/>
      <c r="H22" s="255"/>
    </row>
    <row r="23" spans="1:8" x14ac:dyDescent="0.3">
      <c r="A23" s="71">
        <v>3</v>
      </c>
      <c r="B23" s="70" t="s">
        <v>75</v>
      </c>
      <c r="C23" s="71">
        <f>42+9</f>
        <v>51</v>
      </c>
      <c r="D23" s="73">
        <f>10849000+360000</f>
        <v>11209000</v>
      </c>
      <c r="E23" s="237"/>
      <c r="F23" s="236"/>
      <c r="G23" s="236"/>
      <c r="H23" s="255"/>
    </row>
    <row r="24" spans="1:8" x14ac:dyDescent="0.3">
      <c r="A24" s="71">
        <v>4</v>
      </c>
      <c r="B24" s="70" t="s">
        <v>76</v>
      </c>
      <c r="C24" s="71">
        <f>15+2</f>
        <v>17</v>
      </c>
      <c r="D24" s="73">
        <f>1805000+1375000</f>
        <v>3180000</v>
      </c>
      <c r="E24" s="237"/>
      <c r="F24" s="236"/>
      <c r="G24" s="236"/>
      <c r="H24" s="255"/>
    </row>
    <row r="25" spans="1:8" x14ac:dyDescent="0.3">
      <c r="A25" s="71">
        <v>5</v>
      </c>
      <c r="B25" s="70" t="s">
        <v>77</v>
      </c>
      <c r="C25" s="71">
        <v>7</v>
      </c>
      <c r="D25" s="73">
        <v>282000</v>
      </c>
      <c r="E25" s="237"/>
      <c r="F25" s="236"/>
      <c r="G25" s="236"/>
      <c r="H25" s="255"/>
    </row>
    <row r="26" spans="1:8" x14ac:dyDescent="0.3">
      <c r="A26" s="71">
        <v>6</v>
      </c>
      <c r="B26" s="70" t="s">
        <v>78</v>
      </c>
      <c r="C26" s="71">
        <v>3</v>
      </c>
      <c r="D26" s="73">
        <v>230000</v>
      </c>
      <c r="E26" s="237"/>
      <c r="F26" s="238"/>
      <c r="G26" s="238"/>
      <c r="H26" s="255"/>
    </row>
    <row r="27" spans="1:8" x14ac:dyDescent="0.3">
      <c r="A27" s="239">
        <v>7</v>
      </c>
      <c r="B27" s="240" t="s">
        <v>79</v>
      </c>
      <c r="C27" s="71">
        <f>54+4</f>
        <v>58</v>
      </c>
      <c r="D27" s="73">
        <f>10117200+110000</f>
        <v>10227200</v>
      </c>
      <c r="E27" s="251"/>
      <c r="F27" s="242"/>
      <c r="G27" s="242"/>
      <c r="H27" s="256"/>
    </row>
    <row r="28" spans="1:8" x14ac:dyDescent="0.3">
      <c r="A28" s="244"/>
      <c r="B28" s="243"/>
      <c r="C28" s="244"/>
      <c r="D28" s="245"/>
      <c r="E28" s="252"/>
      <c r="F28" s="246"/>
      <c r="G28" s="246"/>
      <c r="H28" s="257"/>
    </row>
    <row r="29" spans="1:8" x14ac:dyDescent="0.3">
      <c r="A29" s="247"/>
      <c r="C29" s="247"/>
      <c r="D29" s="248"/>
      <c r="E29" s="253"/>
      <c r="F29" s="249"/>
      <c r="G29" s="249"/>
      <c r="H29" s="258"/>
    </row>
    <row r="30" spans="1:8" x14ac:dyDescent="0.3">
      <c r="A30" s="247"/>
      <c r="C30" s="247"/>
      <c r="D30" s="248"/>
      <c r="E30" s="253"/>
      <c r="F30" s="249"/>
      <c r="G30" s="249"/>
      <c r="H30" s="258"/>
    </row>
    <row r="31" spans="1:8" x14ac:dyDescent="0.3">
      <c r="A31" s="247"/>
      <c r="C31" s="247"/>
      <c r="D31" s="248"/>
      <c r="E31" s="253"/>
      <c r="F31" s="249"/>
      <c r="G31" s="249"/>
      <c r="H31" s="258"/>
    </row>
    <row r="32" spans="1:8" ht="22.15" customHeight="1" x14ac:dyDescent="0.3">
      <c r="A32" s="247"/>
      <c r="C32" s="247"/>
      <c r="D32" s="248"/>
      <c r="E32" s="253"/>
      <c r="F32" s="249"/>
      <c r="G32" s="249"/>
      <c r="H32" s="258"/>
    </row>
    <row r="33" spans="1:8" x14ac:dyDescent="0.3">
      <c r="A33" s="329" t="s">
        <v>332</v>
      </c>
      <c r="B33" s="329"/>
      <c r="C33" s="329"/>
      <c r="D33" s="329"/>
      <c r="E33" s="329"/>
      <c r="F33" s="329"/>
      <c r="G33" s="329"/>
      <c r="H33" s="329"/>
    </row>
    <row r="34" spans="1:8" x14ac:dyDescent="0.3">
      <c r="A34" s="329" t="s">
        <v>337</v>
      </c>
      <c r="B34" s="329"/>
      <c r="C34" s="329"/>
      <c r="D34" s="329"/>
      <c r="E34" s="329"/>
      <c r="F34" s="329"/>
      <c r="G34" s="329"/>
      <c r="H34" s="329"/>
    </row>
    <row r="35" spans="1:8" x14ac:dyDescent="0.3">
      <c r="A35" s="234"/>
      <c r="B35" s="234"/>
      <c r="C35" s="234"/>
      <c r="D35" s="234"/>
      <c r="E35" s="234"/>
      <c r="F35" s="234"/>
      <c r="G35" s="234"/>
      <c r="H35" s="234"/>
    </row>
    <row r="36" spans="1:8" x14ac:dyDescent="0.3">
      <c r="B36" s="250" t="s">
        <v>335</v>
      </c>
    </row>
    <row r="37" spans="1:8" ht="21" customHeight="1" x14ac:dyDescent="0.3">
      <c r="A37" s="347" t="s">
        <v>328</v>
      </c>
      <c r="B37" s="348"/>
      <c r="C37" s="351" t="s">
        <v>338</v>
      </c>
      <c r="D37" s="351" t="s">
        <v>80</v>
      </c>
      <c r="E37" s="333" t="s">
        <v>333</v>
      </c>
      <c r="F37" s="351" t="s">
        <v>80</v>
      </c>
      <c r="G37" s="351" t="s">
        <v>85</v>
      </c>
      <c r="H37" s="351" t="s">
        <v>86</v>
      </c>
    </row>
    <row r="38" spans="1:8" ht="69.599999999999994" customHeight="1" x14ac:dyDescent="0.3">
      <c r="A38" s="349"/>
      <c r="B38" s="350"/>
      <c r="C38" s="352"/>
      <c r="D38" s="352"/>
      <c r="E38" s="334"/>
      <c r="F38" s="352"/>
      <c r="G38" s="352"/>
      <c r="H38" s="352"/>
    </row>
    <row r="39" spans="1:8" x14ac:dyDescent="0.3">
      <c r="A39" s="71">
        <v>1</v>
      </c>
      <c r="B39" s="70" t="s">
        <v>325</v>
      </c>
      <c r="C39" s="71">
        <v>71</v>
      </c>
      <c r="D39" s="73">
        <v>33108300</v>
      </c>
      <c r="E39" s="71">
        <v>6</v>
      </c>
      <c r="F39" s="68">
        <v>2962200</v>
      </c>
      <c r="G39" s="68">
        <v>675000</v>
      </c>
      <c r="H39" s="254">
        <f t="shared" ref="H39" si="2">G39*100/F39</f>
        <v>22.787117682803324</v>
      </c>
    </row>
    <row r="40" spans="1:8" x14ac:dyDescent="0.3">
      <c r="A40" s="71">
        <v>2</v>
      </c>
      <c r="B40" s="70" t="s">
        <v>74</v>
      </c>
      <c r="C40" s="71">
        <f>10+1</f>
        <v>11</v>
      </c>
      <c r="D40" s="73">
        <f>325000+800000</f>
        <v>1125000</v>
      </c>
      <c r="E40" s="71"/>
      <c r="F40" s="68"/>
      <c r="G40" s="68"/>
      <c r="H40" s="254"/>
    </row>
    <row r="41" spans="1:8" x14ac:dyDescent="0.3">
      <c r="A41" s="71">
        <v>3</v>
      </c>
      <c r="B41" s="70" t="s">
        <v>75</v>
      </c>
      <c r="C41" s="71">
        <f>42+9</f>
        <v>51</v>
      </c>
      <c r="D41" s="73">
        <f>10849000+360000</f>
        <v>11209000</v>
      </c>
      <c r="E41" s="71"/>
      <c r="F41" s="68"/>
      <c r="G41" s="68"/>
      <c r="H41" s="254"/>
    </row>
    <row r="42" spans="1:8" x14ac:dyDescent="0.3">
      <c r="A42" s="71">
        <v>4</v>
      </c>
      <c r="B42" s="70" t="s">
        <v>76</v>
      </c>
      <c r="C42" s="71">
        <f>15+2</f>
        <v>17</v>
      </c>
      <c r="D42" s="73">
        <f>1805000+1375000</f>
        <v>3180000</v>
      </c>
      <c r="E42" s="71"/>
      <c r="F42" s="68"/>
      <c r="G42" s="68"/>
      <c r="H42" s="254"/>
    </row>
    <row r="43" spans="1:8" x14ac:dyDescent="0.3">
      <c r="A43" s="71">
        <v>5</v>
      </c>
      <c r="B43" s="70" t="s">
        <v>77</v>
      </c>
      <c r="C43" s="71">
        <v>7</v>
      </c>
      <c r="D43" s="73">
        <v>282000</v>
      </c>
      <c r="E43" s="71"/>
      <c r="F43" s="68"/>
      <c r="G43" s="68"/>
      <c r="H43" s="254"/>
    </row>
    <row r="44" spans="1:8" x14ac:dyDescent="0.3">
      <c r="A44" s="71">
        <v>6</v>
      </c>
      <c r="B44" s="70" t="s">
        <v>78</v>
      </c>
      <c r="C44" s="71">
        <v>3</v>
      </c>
      <c r="D44" s="73">
        <v>230000</v>
      </c>
      <c r="E44" s="71"/>
      <c r="F44" s="79"/>
      <c r="G44" s="79"/>
      <c r="H44" s="254"/>
    </row>
    <row r="45" spans="1:8" x14ac:dyDescent="0.3">
      <c r="A45" s="71">
        <v>7</v>
      </c>
      <c r="B45" s="70" t="s">
        <v>79</v>
      </c>
      <c r="C45" s="71">
        <f>54+4</f>
        <v>58</v>
      </c>
      <c r="D45" s="73">
        <f>10117200+110000</f>
        <v>10227200</v>
      </c>
      <c r="E45" s="71"/>
      <c r="F45" s="68"/>
      <c r="G45" s="68"/>
      <c r="H45" s="254"/>
    </row>
    <row r="47" spans="1:8" x14ac:dyDescent="0.3">
      <c r="A47" s="329" t="s">
        <v>332</v>
      </c>
      <c r="B47" s="329"/>
      <c r="C47" s="329"/>
      <c r="D47" s="329"/>
      <c r="E47" s="329"/>
      <c r="F47" s="329"/>
      <c r="G47" s="329"/>
      <c r="H47" s="329"/>
    </row>
    <row r="48" spans="1:8" x14ac:dyDescent="0.3">
      <c r="A48" s="329" t="s">
        <v>337</v>
      </c>
      <c r="B48" s="329"/>
      <c r="C48" s="329"/>
      <c r="D48" s="329"/>
      <c r="E48" s="329"/>
      <c r="F48" s="329"/>
      <c r="G48" s="329"/>
      <c r="H48" s="329"/>
    </row>
    <row r="49" spans="1:11" x14ac:dyDescent="0.3">
      <c r="A49" s="234"/>
      <c r="B49" s="234"/>
      <c r="C49" s="234"/>
      <c r="D49" s="234"/>
      <c r="E49" s="234"/>
      <c r="F49" s="234"/>
      <c r="G49" s="234"/>
      <c r="H49" s="234"/>
    </row>
    <row r="50" spans="1:11" x14ac:dyDescent="0.3">
      <c r="B50" s="250" t="s">
        <v>336</v>
      </c>
    </row>
    <row r="51" spans="1:11" ht="21" customHeight="1" x14ac:dyDescent="0.3">
      <c r="A51" s="347" t="s">
        <v>328</v>
      </c>
      <c r="B51" s="348"/>
      <c r="C51" s="351" t="s">
        <v>338</v>
      </c>
      <c r="D51" s="351" t="s">
        <v>80</v>
      </c>
      <c r="E51" s="333" t="s">
        <v>333</v>
      </c>
      <c r="F51" s="351" t="s">
        <v>80</v>
      </c>
      <c r="G51" s="351" t="s">
        <v>85</v>
      </c>
      <c r="H51" s="351" t="s">
        <v>86</v>
      </c>
    </row>
    <row r="52" spans="1:11" ht="62.45" customHeight="1" x14ac:dyDescent="0.3">
      <c r="A52" s="349"/>
      <c r="B52" s="350"/>
      <c r="C52" s="352"/>
      <c r="D52" s="352"/>
      <c r="E52" s="334"/>
      <c r="F52" s="352"/>
      <c r="G52" s="352"/>
      <c r="H52" s="352"/>
    </row>
    <row r="53" spans="1:11" x14ac:dyDescent="0.3">
      <c r="A53" s="71">
        <v>1</v>
      </c>
      <c r="B53" s="70" t="s">
        <v>325</v>
      </c>
      <c r="C53" s="71">
        <v>71</v>
      </c>
      <c r="D53" s="73">
        <v>33108300</v>
      </c>
      <c r="E53" s="71">
        <v>1</v>
      </c>
      <c r="F53" s="68">
        <v>690000</v>
      </c>
      <c r="G53" s="68">
        <v>524000</v>
      </c>
      <c r="H53" s="254">
        <f>G53*100/F53</f>
        <v>75.94202898550725</v>
      </c>
    </row>
    <row r="54" spans="1:11" x14ac:dyDescent="0.3">
      <c r="A54" s="71">
        <v>2</v>
      </c>
      <c r="B54" s="70" t="s">
        <v>74</v>
      </c>
      <c r="C54" s="71">
        <f>10+1</f>
        <v>11</v>
      </c>
      <c r="D54" s="73">
        <f>325000+800000</f>
        <v>1125000</v>
      </c>
      <c r="E54" s="71"/>
      <c r="F54" s="68"/>
      <c r="G54" s="68"/>
      <c r="H54" s="254"/>
    </row>
    <row r="55" spans="1:11" x14ac:dyDescent="0.3">
      <c r="A55" s="71">
        <v>3</v>
      </c>
      <c r="B55" s="70" t="s">
        <v>75</v>
      </c>
      <c r="C55" s="71">
        <f>42+9</f>
        <v>51</v>
      </c>
      <c r="D55" s="73">
        <f>10849000+360000</f>
        <v>11209000</v>
      </c>
      <c r="E55" s="71"/>
      <c r="F55" s="68"/>
      <c r="G55" s="68"/>
      <c r="H55" s="254"/>
    </row>
    <row r="56" spans="1:11" x14ac:dyDescent="0.3">
      <c r="A56" s="71">
        <v>4</v>
      </c>
      <c r="B56" s="70" t="s">
        <v>76</v>
      </c>
      <c r="C56" s="71">
        <f>15+2</f>
        <v>17</v>
      </c>
      <c r="D56" s="73">
        <f>1805000+1375000</f>
        <v>3180000</v>
      </c>
      <c r="E56" s="71"/>
      <c r="F56" s="68"/>
      <c r="G56" s="68"/>
      <c r="H56" s="254"/>
    </row>
    <row r="57" spans="1:11" x14ac:dyDescent="0.3">
      <c r="A57" s="71">
        <v>5</v>
      </c>
      <c r="B57" s="70" t="s">
        <v>77</v>
      </c>
      <c r="C57" s="71">
        <v>7</v>
      </c>
      <c r="D57" s="73">
        <v>282000</v>
      </c>
      <c r="E57" s="71"/>
      <c r="F57" s="68"/>
      <c r="G57" s="68"/>
      <c r="H57" s="254"/>
    </row>
    <row r="58" spans="1:11" x14ac:dyDescent="0.3">
      <c r="A58" s="71">
        <v>6</v>
      </c>
      <c r="B58" s="70" t="s">
        <v>78</v>
      </c>
      <c r="C58" s="71">
        <v>3</v>
      </c>
      <c r="D58" s="73">
        <v>230000</v>
      </c>
      <c r="E58" s="71"/>
      <c r="F58" s="79"/>
      <c r="G58" s="79"/>
      <c r="H58" s="260"/>
      <c r="I58" s="262"/>
    </row>
    <row r="59" spans="1:11" x14ac:dyDescent="0.3">
      <c r="A59" s="239">
        <v>7</v>
      </c>
      <c r="B59" s="240" t="s">
        <v>79</v>
      </c>
      <c r="C59" s="239">
        <f>54+4</f>
        <v>58</v>
      </c>
      <c r="D59" s="241">
        <f>10117200+110000</f>
        <v>10227200</v>
      </c>
      <c r="E59" s="239"/>
      <c r="F59" s="259"/>
      <c r="G59" s="259"/>
      <c r="H59" s="261"/>
      <c r="I59" s="262"/>
    </row>
    <row r="60" spans="1:11" s="143" customFormat="1" x14ac:dyDescent="0.3">
      <c r="B60" s="243"/>
      <c r="E60" s="244"/>
      <c r="H60" s="244"/>
      <c r="I60" s="262"/>
      <c r="J60"/>
      <c r="K60"/>
    </row>
  </sheetData>
  <mergeCells count="36">
    <mergeCell ref="A47:H47"/>
    <mergeCell ref="A48:H48"/>
    <mergeCell ref="A51:B52"/>
    <mergeCell ref="C51:C52"/>
    <mergeCell ref="D51:D52"/>
    <mergeCell ref="E51:E52"/>
    <mergeCell ref="F51:F52"/>
    <mergeCell ref="G51:G52"/>
    <mergeCell ref="H51:H52"/>
    <mergeCell ref="A33:H33"/>
    <mergeCell ref="A34:H34"/>
    <mergeCell ref="A37:B38"/>
    <mergeCell ref="C37:C38"/>
    <mergeCell ref="D37:D38"/>
    <mergeCell ref="E37:E38"/>
    <mergeCell ref="F37:F38"/>
    <mergeCell ref="G37:G38"/>
    <mergeCell ref="H37:H38"/>
    <mergeCell ref="A16:H16"/>
    <mergeCell ref="A17:H17"/>
    <mergeCell ref="A19:B20"/>
    <mergeCell ref="C19:C20"/>
    <mergeCell ref="D19:D20"/>
    <mergeCell ref="E19:E20"/>
    <mergeCell ref="F19:F20"/>
    <mergeCell ref="G19:G20"/>
    <mergeCell ref="H19:H20"/>
    <mergeCell ref="A5:B6"/>
    <mergeCell ref="A3:H3"/>
    <mergeCell ref="A2:H2"/>
    <mergeCell ref="C5:C6"/>
    <mergeCell ref="D5:D6"/>
    <mergeCell ref="F5:F6"/>
    <mergeCell ref="G5:G6"/>
    <mergeCell ref="H5:H6"/>
    <mergeCell ref="E5:E6"/>
  </mergeCells>
  <phoneticPr fontId="18" type="noConversion"/>
  <pageMargins left="0.78740157480314965" right="0.39370078740157483" top="0.39370078740157483" bottom="0.39370078740157483" header="0.31496062992125984" footer="0.31496062992125984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opLeftCell="A4" workbookViewId="0">
      <selection activeCell="D8" sqref="D8"/>
    </sheetView>
  </sheetViews>
  <sheetFormatPr defaultRowHeight="20.25" x14ac:dyDescent="0.3"/>
  <cols>
    <col min="1" max="1" width="6" customWidth="1"/>
    <col min="2" max="2" width="24.88671875" style="233" customWidth="1"/>
    <col min="3" max="3" width="14.77734375" customWidth="1"/>
    <col min="4" max="5" width="15" customWidth="1"/>
    <col min="6" max="6" width="12.77734375" customWidth="1"/>
    <col min="7" max="7" width="13.44140625" customWidth="1"/>
    <col min="8" max="8" width="12.21875" customWidth="1"/>
  </cols>
  <sheetData>
    <row r="2" spans="1:9" x14ac:dyDescent="0.3">
      <c r="A2" s="329" t="s">
        <v>81</v>
      </c>
      <c r="B2" s="329"/>
      <c r="C2" s="329"/>
      <c r="D2" s="329"/>
      <c r="E2" s="329"/>
      <c r="F2" s="329"/>
      <c r="G2" s="329"/>
      <c r="H2" s="329"/>
      <c r="I2" s="329"/>
    </row>
    <row r="3" spans="1:9" x14ac:dyDescent="0.3">
      <c r="A3" s="329" t="s">
        <v>326</v>
      </c>
      <c r="B3" s="329"/>
      <c r="C3" s="329"/>
      <c r="D3" s="329"/>
      <c r="E3" s="329"/>
      <c r="F3" s="329"/>
      <c r="G3" s="329"/>
      <c r="H3" s="329"/>
      <c r="I3" s="329"/>
    </row>
    <row r="5" spans="1:9" x14ac:dyDescent="0.3">
      <c r="A5" s="337" t="s">
        <v>1</v>
      </c>
      <c r="B5" s="351" t="s">
        <v>71</v>
      </c>
      <c r="C5" s="335" t="s">
        <v>72</v>
      </c>
      <c r="D5" s="355"/>
      <c r="E5" s="355"/>
      <c r="F5" s="355"/>
      <c r="G5" s="355"/>
      <c r="H5" s="336"/>
    </row>
    <row r="6" spans="1:9" ht="43.15" customHeight="1" x14ac:dyDescent="0.3">
      <c r="A6" s="353"/>
      <c r="B6" s="354"/>
      <c r="C6" s="351" t="s">
        <v>73</v>
      </c>
      <c r="D6" s="351" t="s">
        <v>80</v>
      </c>
      <c r="E6" s="231"/>
      <c r="F6" s="351" t="s">
        <v>80</v>
      </c>
      <c r="G6" s="351" t="s">
        <v>85</v>
      </c>
      <c r="H6" s="351" t="s">
        <v>86</v>
      </c>
    </row>
    <row r="7" spans="1:9" ht="66.599999999999994" customHeight="1" x14ac:dyDescent="0.3">
      <c r="A7" s="338"/>
      <c r="B7" s="352"/>
      <c r="C7" s="352"/>
      <c r="D7" s="352"/>
      <c r="E7" s="232"/>
      <c r="F7" s="352"/>
      <c r="G7" s="352"/>
      <c r="H7" s="352"/>
    </row>
    <row r="8" spans="1:9" x14ac:dyDescent="0.3">
      <c r="A8" s="71">
        <v>1</v>
      </c>
      <c r="B8" s="70" t="s">
        <v>325</v>
      </c>
      <c r="C8" s="29">
        <v>71</v>
      </c>
      <c r="D8" s="73">
        <v>33108300</v>
      </c>
      <c r="E8" s="73"/>
      <c r="F8" s="68">
        <f>4638000+759881</f>
        <v>5397881</v>
      </c>
      <c r="G8" s="68">
        <v>675000</v>
      </c>
      <c r="H8" s="80">
        <f>G8*100/F8</f>
        <v>12.504907018142861</v>
      </c>
    </row>
    <row r="9" spans="1:9" x14ac:dyDescent="0.3">
      <c r="A9" s="71">
        <v>2</v>
      </c>
      <c r="B9" s="70" t="s">
        <v>74</v>
      </c>
      <c r="C9" s="29">
        <v>10</v>
      </c>
      <c r="D9" s="73">
        <v>325000</v>
      </c>
      <c r="E9" s="73"/>
      <c r="F9" s="68">
        <f>316000+40000</f>
        <v>356000</v>
      </c>
      <c r="G9" s="68">
        <f>165400+37995</f>
        <v>203395</v>
      </c>
      <c r="H9" s="80">
        <f>G9*100/F9</f>
        <v>57.133426966292134</v>
      </c>
    </row>
    <row r="10" spans="1:9" x14ac:dyDescent="0.3">
      <c r="A10" s="71">
        <v>3</v>
      </c>
      <c r="B10" s="70" t="s">
        <v>75</v>
      </c>
      <c r="C10" s="29">
        <v>42</v>
      </c>
      <c r="D10" s="73">
        <v>10849000</v>
      </c>
      <c r="E10" s="73"/>
      <c r="F10" s="68">
        <f>5478702+479000</f>
        <v>5957702</v>
      </c>
      <c r="G10" s="68">
        <f>2897982+209518</f>
        <v>3107500</v>
      </c>
      <c r="H10" s="80">
        <f>G10*100/F10</f>
        <v>52.159372858864039</v>
      </c>
    </row>
    <row r="11" spans="1:9" x14ac:dyDescent="0.3">
      <c r="A11" s="71">
        <v>4</v>
      </c>
      <c r="B11" s="70" t="s">
        <v>76</v>
      </c>
      <c r="C11" s="29">
        <v>15</v>
      </c>
      <c r="D11" s="73">
        <v>1805000</v>
      </c>
      <c r="E11" s="73"/>
      <c r="F11" s="68">
        <v>1020000</v>
      </c>
      <c r="G11" s="68">
        <v>278850</v>
      </c>
      <c r="H11" s="80">
        <f>G11*100/F11</f>
        <v>27.338235294117649</v>
      </c>
    </row>
    <row r="12" spans="1:9" x14ac:dyDescent="0.3">
      <c r="A12" s="71">
        <v>5</v>
      </c>
      <c r="B12" s="70" t="s">
        <v>77</v>
      </c>
      <c r="C12" s="29">
        <v>7</v>
      </c>
      <c r="D12" s="73">
        <v>282000</v>
      </c>
      <c r="E12" s="73"/>
      <c r="F12" s="68">
        <f>101860+191860</f>
        <v>293720</v>
      </c>
      <c r="G12" s="68"/>
      <c r="H12" s="80">
        <f>G12*100/F12</f>
        <v>0</v>
      </c>
    </row>
    <row r="13" spans="1:9" x14ac:dyDescent="0.3">
      <c r="A13" s="71">
        <v>6</v>
      </c>
      <c r="B13" s="70" t="s">
        <v>78</v>
      </c>
      <c r="C13" s="29">
        <v>3</v>
      </c>
      <c r="D13" s="73">
        <v>230000</v>
      </c>
      <c r="E13" s="73"/>
      <c r="F13" s="79" t="s">
        <v>84</v>
      </c>
      <c r="G13" s="79"/>
      <c r="H13" s="80"/>
    </row>
    <row r="14" spans="1:9" x14ac:dyDescent="0.3">
      <c r="A14" s="71">
        <v>7</v>
      </c>
      <c r="B14" s="70" t="s">
        <v>79</v>
      </c>
      <c r="C14" s="29">
        <v>54</v>
      </c>
      <c r="D14" s="73">
        <v>10117200</v>
      </c>
      <c r="E14" s="73"/>
      <c r="F14" s="68">
        <v>660029</v>
      </c>
      <c r="G14" s="68">
        <v>302105</v>
      </c>
      <c r="H14" s="80">
        <f>G14*100/F14</f>
        <v>45.771473677671736</v>
      </c>
    </row>
    <row r="15" spans="1:9" x14ac:dyDescent="0.3">
      <c r="A15" s="29"/>
      <c r="B15" s="70"/>
      <c r="C15" s="29"/>
      <c r="D15" s="29"/>
      <c r="E15" s="29"/>
      <c r="F15" s="29"/>
      <c r="G15" s="29"/>
      <c r="H15" s="29"/>
    </row>
  </sheetData>
  <mergeCells count="10">
    <mergeCell ref="H6:H7"/>
    <mergeCell ref="A2:I2"/>
    <mergeCell ref="A3:I3"/>
    <mergeCell ref="A5:A7"/>
    <mergeCell ref="B5:B7"/>
    <mergeCell ref="C5:H5"/>
    <mergeCell ref="C6:C7"/>
    <mergeCell ref="D6:D7"/>
    <mergeCell ref="F6:F7"/>
    <mergeCell ref="G6:G7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60" zoomScaleNormal="130" workbookViewId="0">
      <selection activeCell="I13" sqref="I13"/>
    </sheetView>
  </sheetViews>
  <sheetFormatPr defaultRowHeight="20.25" x14ac:dyDescent="0.3"/>
  <cols>
    <col min="1" max="1" width="25.44140625" style="3" customWidth="1"/>
    <col min="2" max="2" width="11.5546875" style="3" customWidth="1"/>
    <col min="3" max="3" width="9.6640625" style="3" customWidth="1"/>
    <col min="4" max="4" width="11.77734375" style="3" customWidth="1"/>
    <col min="5" max="5" width="9.77734375" style="3" customWidth="1"/>
    <col min="6" max="6" width="6.44140625" style="3" customWidth="1"/>
    <col min="7" max="7" width="8.88671875" style="3" customWidth="1"/>
    <col min="8" max="8" width="10.6640625" style="3" customWidth="1"/>
    <col min="9" max="9" width="11.109375" style="3" customWidth="1"/>
    <col min="10" max="10" width="8.6640625" style="3"/>
    <col min="11" max="11" width="16.88671875" style="3" customWidth="1"/>
    <col min="12" max="256" width="8.6640625" style="3"/>
    <col min="257" max="257" width="28.44140625" style="3" customWidth="1"/>
    <col min="258" max="258" width="12.77734375" style="3" customWidth="1"/>
    <col min="259" max="259" width="10.44140625" style="3" customWidth="1"/>
    <col min="260" max="260" width="13.109375" style="3" customWidth="1"/>
    <col min="261" max="261" width="10.5546875" style="3" customWidth="1"/>
    <col min="262" max="262" width="6.44140625" style="3" customWidth="1"/>
    <col min="263" max="263" width="8.88671875" style="3" customWidth="1"/>
    <col min="264" max="264" width="10.6640625" style="3" customWidth="1"/>
    <col min="265" max="265" width="11.109375" style="3" customWidth="1"/>
    <col min="266" max="266" width="8.6640625" style="3"/>
    <col min="267" max="267" width="16.88671875" style="3" customWidth="1"/>
    <col min="268" max="512" width="8.6640625" style="3"/>
    <col min="513" max="513" width="28.44140625" style="3" customWidth="1"/>
    <col min="514" max="514" width="12.77734375" style="3" customWidth="1"/>
    <col min="515" max="515" width="10.44140625" style="3" customWidth="1"/>
    <col min="516" max="516" width="13.109375" style="3" customWidth="1"/>
    <col min="517" max="517" width="10.5546875" style="3" customWidth="1"/>
    <col min="518" max="518" width="6.44140625" style="3" customWidth="1"/>
    <col min="519" max="519" width="8.88671875" style="3" customWidth="1"/>
    <col min="520" max="520" width="10.6640625" style="3" customWidth="1"/>
    <col min="521" max="521" width="11.109375" style="3" customWidth="1"/>
    <col min="522" max="522" width="8.6640625" style="3"/>
    <col min="523" max="523" width="16.88671875" style="3" customWidth="1"/>
    <col min="524" max="768" width="8.6640625" style="3"/>
    <col min="769" max="769" width="28.44140625" style="3" customWidth="1"/>
    <col min="770" max="770" width="12.77734375" style="3" customWidth="1"/>
    <col min="771" max="771" width="10.44140625" style="3" customWidth="1"/>
    <col min="772" max="772" width="13.109375" style="3" customWidth="1"/>
    <col min="773" max="773" width="10.5546875" style="3" customWidth="1"/>
    <col min="774" max="774" width="6.44140625" style="3" customWidth="1"/>
    <col min="775" max="775" width="8.88671875" style="3" customWidth="1"/>
    <col min="776" max="776" width="10.6640625" style="3" customWidth="1"/>
    <col min="777" max="777" width="11.109375" style="3" customWidth="1"/>
    <col min="778" max="778" width="8.6640625" style="3"/>
    <col min="779" max="779" width="16.88671875" style="3" customWidth="1"/>
    <col min="780" max="1024" width="8.6640625" style="3"/>
    <col min="1025" max="1025" width="28.44140625" style="3" customWidth="1"/>
    <col min="1026" max="1026" width="12.77734375" style="3" customWidth="1"/>
    <col min="1027" max="1027" width="10.44140625" style="3" customWidth="1"/>
    <col min="1028" max="1028" width="13.109375" style="3" customWidth="1"/>
    <col min="1029" max="1029" width="10.5546875" style="3" customWidth="1"/>
    <col min="1030" max="1030" width="6.44140625" style="3" customWidth="1"/>
    <col min="1031" max="1031" width="8.88671875" style="3" customWidth="1"/>
    <col min="1032" max="1032" width="10.6640625" style="3" customWidth="1"/>
    <col min="1033" max="1033" width="11.109375" style="3" customWidth="1"/>
    <col min="1034" max="1034" width="8.6640625" style="3"/>
    <col min="1035" max="1035" width="16.88671875" style="3" customWidth="1"/>
    <col min="1036" max="1280" width="8.6640625" style="3"/>
    <col min="1281" max="1281" width="28.44140625" style="3" customWidth="1"/>
    <col min="1282" max="1282" width="12.77734375" style="3" customWidth="1"/>
    <col min="1283" max="1283" width="10.44140625" style="3" customWidth="1"/>
    <col min="1284" max="1284" width="13.109375" style="3" customWidth="1"/>
    <col min="1285" max="1285" width="10.5546875" style="3" customWidth="1"/>
    <col min="1286" max="1286" width="6.44140625" style="3" customWidth="1"/>
    <col min="1287" max="1287" width="8.88671875" style="3" customWidth="1"/>
    <col min="1288" max="1288" width="10.6640625" style="3" customWidth="1"/>
    <col min="1289" max="1289" width="11.109375" style="3" customWidth="1"/>
    <col min="1290" max="1290" width="8.6640625" style="3"/>
    <col min="1291" max="1291" width="16.88671875" style="3" customWidth="1"/>
    <col min="1292" max="1536" width="8.6640625" style="3"/>
    <col min="1537" max="1537" width="28.44140625" style="3" customWidth="1"/>
    <col min="1538" max="1538" width="12.77734375" style="3" customWidth="1"/>
    <col min="1539" max="1539" width="10.44140625" style="3" customWidth="1"/>
    <col min="1540" max="1540" width="13.109375" style="3" customWidth="1"/>
    <col min="1541" max="1541" width="10.5546875" style="3" customWidth="1"/>
    <col min="1542" max="1542" width="6.44140625" style="3" customWidth="1"/>
    <col min="1543" max="1543" width="8.88671875" style="3" customWidth="1"/>
    <col min="1544" max="1544" width="10.6640625" style="3" customWidth="1"/>
    <col min="1545" max="1545" width="11.109375" style="3" customWidth="1"/>
    <col min="1546" max="1546" width="8.6640625" style="3"/>
    <col min="1547" max="1547" width="16.88671875" style="3" customWidth="1"/>
    <col min="1548" max="1792" width="8.6640625" style="3"/>
    <col min="1793" max="1793" width="28.44140625" style="3" customWidth="1"/>
    <col min="1794" max="1794" width="12.77734375" style="3" customWidth="1"/>
    <col min="1795" max="1795" width="10.44140625" style="3" customWidth="1"/>
    <col min="1796" max="1796" width="13.109375" style="3" customWidth="1"/>
    <col min="1797" max="1797" width="10.5546875" style="3" customWidth="1"/>
    <col min="1798" max="1798" width="6.44140625" style="3" customWidth="1"/>
    <col min="1799" max="1799" width="8.88671875" style="3" customWidth="1"/>
    <col min="1800" max="1800" width="10.6640625" style="3" customWidth="1"/>
    <col min="1801" max="1801" width="11.109375" style="3" customWidth="1"/>
    <col min="1802" max="1802" width="8.6640625" style="3"/>
    <col min="1803" max="1803" width="16.88671875" style="3" customWidth="1"/>
    <col min="1804" max="2048" width="8.6640625" style="3"/>
    <col min="2049" max="2049" width="28.44140625" style="3" customWidth="1"/>
    <col min="2050" max="2050" width="12.77734375" style="3" customWidth="1"/>
    <col min="2051" max="2051" width="10.44140625" style="3" customWidth="1"/>
    <col min="2052" max="2052" width="13.109375" style="3" customWidth="1"/>
    <col min="2053" max="2053" width="10.5546875" style="3" customWidth="1"/>
    <col min="2054" max="2054" width="6.44140625" style="3" customWidth="1"/>
    <col min="2055" max="2055" width="8.88671875" style="3" customWidth="1"/>
    <col min="2056" max="2056" width="10.6640625" style="3" customWidth="1"/>
    <col min="2057" max="2057" width="11.109375" style="3" customWidth="1"/>
    <col min="2058" max="2058" width="8.6640625" style="3"/>
    <col min="2059" max="2059" width="16.88671875" style="3" customWidth="1"/>
    <col min="2060" max="2304" width="8.6640625" style="3"/>
    <col min="2305" max="2305" width="28.44140625" style="3" customWidth="1"/>
    <col min="2306" max="2306" width="12.77734375" style="3" customWidth="1"/>
    <col min="2307" max="2307" width="10.44140625" style="3" customWidth="1"/>
    <col min="2308" max="2308" width="13.109375" style="3" customWidth="1"/>
    <col min="2309" max="2309" width="10.5546875" style="3" customWidth="1"/>
    <col min="2310" max="2310" width="6.44140625" style="3" customWidth="1"/>
    <col min="2311" max="2311" width="8.88671875" style="3" customWidth="1"/>
    <col min="2312" max="2312" width="10.6640625" style="3" customWidth="1"/>
    <col min="2313" max="2313" width="11.109375" style="3" customWidth="1"/>
    <col min="2314" max="2314" width="8.6640625" style="3"/>
    <col min="2315" max="2315" width="16.88671875" style="3" customWidth="1"/>
    <col min="2316" max="2560" width="8.6640625" style="3"/>
    <col min="2561" max="2561" width="28.44140625" style="3" customWidth="1"/>
    <col min="2562" max="2562" width="12.77734375" style="3" customWidth="1"/>
    <col min="2563" max="2563" width="10.44140625" style="3" customWidth="1"/>
    <col min="2564" max="2564" width="13.109375" style="3" customWidth="1"/>
    <col min="2565" max="2565" width="10.5546875" style="3" customWidth="1"/>
    <col min="2566" max="2566" width="6.44140625" style="3" customWidth="1"/>
    <col min="2567" max="2567" width="8.88671875" style="3" customWidth="1"/>
    <col min="2568" max="2568" width="10.6640625" style="3" customWidth="1"/>
    <col min="2569" max="2569" width="11.109375" style="3" customWidth="1"/>
    <col min="2570" max="2570" width="8.6640625" style="3"/>
    <col min="2571" max="2571" width="16.88671875" style="3" customWidth="1"/>
    <col min="2572" max="2816" width="8.6640625" style="3"/>
    <col min="2817" max="2817" width="28.44140625" style="3" customWidth="1"/>
    <col min="2818" max="2818" width="12.77734375" style="3" customWidth="1"/>
    <col min="2819" max="2819" width="10.44140625" style="3" customWidth="1"/>
    <col min="2820" max="2820" width="13.109375" style="3" customWidth="1"/>
    <col min="2821" max="2821" width="10.5546875" style="3" customWidth="1"/>
    <col min="2822" max="2822" width="6.44140625" style="3" customWidth="1"/>
    <col min="2823" max="2823" width="8.88671875" style="3" customWidth="1"/>
    <col min="2824" max="2824" width="10.6640625" style="3" customWidth="1"/>
    <col min="2825" max="2825" width="11.109375" style="3" customWidth="1"/>
    <col min="2826" max="2826" width="8.6640625" style="3"/>
    <col min="2827" max="2827" width="16.88671875" style="3" customWidth="1"/>
    <col min="2828" max="3072" width="8.6640625" style="3"/>
    <col min="3073" max="3073" width="28.44140625" style="3" customWidth="1"/>
    <col min="3074" max="3074" width="12.77734375" style="3" customWidth="1"/>
    <col min="3075" max="3075" width="10.44140625" style="3" customWidth="1"/>
    <col min="3076" max="3076" width="13.109375" style="3" customWidth="1"/>
    <col min="3077" max="3077" width="10.5546875" style="3" customWidth="1"/>
    <col min="3078" max="3078" width="6.44140625" style="3" customWidth="1"/>
    <col min="3079" max="3079" width="8.88671875" style="3" customWidth="1"/>
    <col min="3080" max="3080" width="10.6640625" style="3" customWidth="1"/>
    <col min="3081" max="3081" width="11.109375" style="3" customWidth="1"/>
    <col min="3082" max="3082" width="8.6640625" style="3"/>
    <col min="3083" max="3083" width="16.88671875" style="3" customWidth="1"/>
    <col min="3084" max="3328" width="8.6640625" style="3"/>
    <col min="3329" max="3329" width="28.44140625" style="3" customWidth="1"/>
    <col min="3330" max="3330" width="12.77734375" style="3" customWidth="1"/>
    <col min="3331" max="3331" width="10.44140625" style="3" customWidth="1"/>
    <col min="3332" max="3332" width="13.109375" style="3" customWidth="1"/>
    <col min="3333" max="3333" width="10.5546875" style="3" customWidth="1"/>
    <col min="3334" max="3334" width="6.44140625" style="3" customWidth="1"/>
    <col min="3335" max="3335" width="8.88671875" style="3" customWidth="1"/>
    <col min="3336" max="3336" width="10.6640625" style="3" customWidth="1"/>
    <col min="3337" max="3337" width="11.109375" style="3" customWidth="1"/>
    <col min="3338" max="3338" width="8.6640625" style="3"/>
    <col min="3339" max="3339" width="16.88671875" style="3" customWidth="1"/>
    <col min="3340" max="3584" width="8.6640625" style="3"/>
    <col min="3585" max="3585" width="28.44140625" style="3" customWidth="1"/>
    <col min="3586" max="3586" width="12.77734375" style="3" customWidth="1"/>
    <col min="3587" max="3587" width="10.44140625" style="3" customWidth="1"/>
    <col min="3588" max="3588" width="13.109375" style="3" customWidth="1"/>
    <col min="3589" max="3589" width="10.5546875" style="3" customWidth="1"/>
    <col min="3590" max="3590" width="6.44140625" style="3" customWidth="1"/>
    <col min="3591" max="3591" width="8.88671875" style="3" customWidth="1"/>
    <col min="3592" max="3592" width="10.6640625" style="3" customWidth="1"/>
    <col min="3593" max="3593" width="11.109375" style="3" customWidth="1"/>
    <col min="3594" max="3594" width="8.6640625" style="3"/>
    <col min="3595" max="3595" width="16.88671875" style="3" customWidth="1"/>
    <col min="3596" max="3840" width="8.6640625" style="3"/>
    <col min="3841" max="3841" width="28.44140625" style="3" customWidth="1"/>
    <col min="3842" max="3842" width="12.77734375" style="3" customWidth="1"/>
    <col min="3843" max="3843" width="10.44140625" style="3" customWidth="1"/>
    <col min="3844" max="3844" width="13.109375" style="3" customWidth="1"/>
    <col min="3845" max="3845" width="10.5546875" style="3" customWidth="1"/>
    <col min="3846" max="3846" width="6.44140625" style="3" customWidth="1"/>
    <col min="3847" max="3847" width="8.88671875" style="3" customWidth="1"/>
    <col min="3848" max="3848" width="10.6640625" style="3" customWidth="1"/>
    <col min="3849" max="3849" width="11.109375" style="3" customWidth="1"/>
    <col min="3850" max="3850" width="8.6640625" style="3"/>
    <col min="3851" max="3851" width="16.88671875" style="3" customWidth="1"/>
    <col min="3852" max="4096" width="8.6640625" style="3"/>
    <col min="4097" max="4097" width="28.44140625" style="3" customWidth="1"/>
    <col min="4098" max="4098" width="12.77734375" style="3" customWidth="1"/>
    <col min="4099" max="4099" width="10.44140625" style="3" customWidth="1"/>
    <col min="4100" max="4100" width="13.109375" style="3" customWidth="1"/>
    <col min="4101" max="4101" width="10.5546875" style="3" customWidth="1"/>
    <col min="4102" max="4102" width="6.44140625" style="3" customWidth="1"/>
    <col min="4103" max="4103" width="8.88671875" style="3" customWidth="1"/>
    <col min="4104" max="4104" width="10.6640625" style="3" customWidth="1"/>
    <col min="4105" max="4105" width="11.109375" style="3" customWidth="1"/>
    <col min="4106" max="4106" width="8.6640625" style="3"/>
    <col min="4107" max="4107" width="16.88671875" style="3" customWidth="1"/>
    <col min="4108" max="4352" width="8.6640625" style="3"/>
    <col min="4353" max="4353" width="28.44140625" style="3" customWidth="1"/>
    <col min="4354" max="4354" width="12.77734375" style="3" customWidth="1"/>
    <col min="4355" max="4355" width="10.44140625" style="3" customWidth="1"/>
    <col min="4356" max="4356" width="13.109375" style="3" customWidth="1"/>
    <col min="4357" max="4357" width="10.5546875" style="3" customWidth="1"/>
    <col min="4358" max="4358" width="6.44140625" style="3" customWidth="1"/>
    <col min="4359" max="4359" width="8.88671875" style="3" customWidth="1"/>
    <col min="4360" max="4360" width="10.6640625" style="3" customWidth="1"/>
    <col min="4361" max="4361" width="11.109375" style="3" customWidth="1"/>
    <col min="4362" max="4362" width="8.6640625" style="3"/>
    <col min="4363" max="4363" width="16.88671875" style="3" customWidth="1"/>
    <col min="4364" max="4608" width="8.6640625" style="3"/>
    <col min="4609" max="4609" width="28.44140625" style="3" customWidth="1"/>
    <col min="4610" max="4610" width="12.77734375" style="3" customWidth="1"/>
    <col min="4611" max="4611" width="10.44140625" style="3" customWidth="1"/>
    <col min="4612" max="4612" width="13.109375" style="3" customWidth="1"/>
    <col min="4613" max="4613" width="10.5546875" style="3" customWidth="1"/>
    <col min="4614" max="4614" width="6.44140625" style="3" customWidth="1"/>
    <col min="4615" max="4615" width="8.88671875" style="3" customWidth="1"/>
    <col min="4616" max="4616" width="10.6640625" style="3" customWidth="1"/>
    <col min="4617" max="4617" width="11.109375" style="3" customWidth="1"/>
    <col min="4618" max="4618" width="8.6640625" style="3"/>
    <col min="4619" max="4619" width="16.88671875" style="3" customWidth="1"/>
    <col min="4620" max="4864" width="8.6640625" style="3"/>
    <col min="4865" max="4865" width="28.44140625" style="3" customWidth="1"/>
    <col min="4866" max="4866" width="12.77734375" style="3" customWidth="1"/>
    <col min="4867" max="4867" width="10.44140625" style="3" customWidth="1"/>
    <col min="4868" max="4868" width="13.109375" style="3" customWidth="1"/>
    <col min="4869" max="4869" width="10.5546875" style="3" customWidth="1"/>
    <col min="4870" max="4870" width="6.44140625" style="3" customWidth="1"/>
    <col min="4871" max="4871" width="8.88671875" style="3" customWidth="1"/>
    <col min="4872" max="4872" width="10.6640625" style="3" customWidth="1"/>
    <col min="4873" max="4873" width="11.109375" style="3" customWidth="1"/>
    <col min="4874" max="4874" width="8.6640625" style="3"/>
    <col min="4875" max="4875" width="16.88671875" style="3" customWidth="1"/>
    <col min="4876" max="5120" width="8.6640625" style="3"/>
    <col min="5121" max="5121" width="28.44140625" style="3" customWidth="1"/>
    <col min="5122" max="5122" width="12.77734375" style="3" customWidth="1"/>
    <col min="5123" max="5123" width="10.44140625" style="3" customWidth="1"/>
    <col min="5124" max="5124" width="13.109375" style="3" customWidth="1"/>
    <col min="5125" max="5125" width="10.5546875" style="3" customWidth="1"/>
    <col min="5126" max="5126" width="6.44140625" style="3" customWidth="1"/>
    <col min="5127" max="5127" width="8.88671875" style="3" customWidth="1"/>
    <col min="5128" max="5128" width="10.6640625" style="3" customWidth="1"/>
    <col min="5129" max="5129" width="11.109375" style="3" customWidth="1"/>
    <col min="5130" max="5130" width="8.6640625" style="3"/>
    <col min="5131" max="5131" width="16.88671875" style="3" customWidth="1"/>
    <col min="5132" max="5376" width="8.6640625" style="3"/>
    <col min="5377" max="5377" width="28.44140625" style="3" customWidth="1"/>
    <col min="5378" max="5378" width="12.77734375" style="3" customWidth="1"/>
    <col min="5379" max="5379" width="10.44140625" style="3" customWidth="1"/>
    <col min="5380" max="5380" width="13.109375" style="3" customWidth="1"/>
    <col min="5381" max="5381" width="10.5546875" style="3" customWidth="1"/>
    <col min="5382" max="5382" width="6.44140625" style="3" customWidth="1"/>
    <col min="5383" max="5383" width="8.88671875" style="3" customWidth="1"/>
    <col min="5384" max="5384" width="10.6640625" style="3" customWidth="1"/>
    <col min="5385" max="5385" width="11.109375" style="3" customWidth="1"/>
    <col min="5386" max="5386" width="8.6640625" style="3"/>
    <col min="5387" max="5387" width="16.88671875" style="3" customWidth="1"/>
    <col min="5388" max="5632" width="8.6640625" style="3"/>
    <col min="5633" max="5633" width="28.44140625" style="3" customWidth="1"/>
    <col min="5634" max="5634" width="12.77734375" style="3" customWidth="1"/>
    <col min="5635" max="5635" width="10.44140625" style="3" customWidth="1"/>
    <col min="5636" max="5636" width="13.109375" style="3" customWidth="1"/>
    <col min="5637" max="5637" width="10.5546875" style="3" customWidth="1"/>
    <col min="5638" max="5638" width="6.44140625" style="3" customWidth="1"/>
    <col min="5639" max="5639" width="8.88671875" style="3" customWidth="1"/>
    <col min="5640" max="5640" width="10.6640625" style="3" customWidth="1"/>
    <col min="5641" max="5641" width="11.109375" style="3" customWidth="1"/>
    <col min="5642" max="5642" width="8.6640625" style="3"/>
    <col min="5643" max="5643" width="16.88671875" style="3" customWidth="1"/>
    <col min="5644" max="5888" width="8.6640625" style="3"/>
    <col min="5889" max="5889" width="28.44140625" style="3" customWidth="1"/>
    <col min="5890" max="5890" width="12.77734375" style="3" customWidth="1"/>
    <col min="5891" max="5891" width="10.44140625" style="3" customWidth="1"/>
    <col min="5892" max="5892" width="13.109375" style="3" customWidth="1"/>
    <col min="5893" max="5893" width="10.5546875" style="3" customWidth="1"/>
    <col min="5894" max="5894" width="6.44140625" style="3" customWidth="1"/>
    <col min="5895" max="5895" width="8.88671875" style="3" customWidth="1"/>
    <col min="5896" max="5896" width="10.6640625" style="3" customWidth="1"/>
    <col min="5897" max="5897" width="11.109375" style="3" customWidth="1"/>
    <col min="5898" max="5898" width="8.6640625" style="3"/>
    <col min="5899" max="5899" width="16.88671875" style="3" customWidth="1"/>
    <col min="5900" max="6144" width="8.6640625" style="3"/>
    <col min="6145" max="6145" width="28.44140625" style="3" customWidth="1"/>
    <col min="6146" max="6146" width="12.77734375" style="3" customWidth="1"/>
    <col min="6147" max="6147" width="10.44140625" style="3" customWidth="1"/>
    <col min="6148" max="6148" width="13.109375" style="3" customWidth="1"/>
    <col min="6149" max="6149" width="10.5546875" style="3" customWidth="1"/>
    <col min="6150" max="6150" width="6.44140625" style="3" customWidth="1"/>
    <col min="6151" max="6151" width="8.88671875" style="3" customWidth="1"/>
    <col min="6152" max="6152" width="10.6640625" style="3" customWidth="1"/>
    <col min="6153" max="6153" width="11.109375" style="3" customWidth="1"/>
    <col min="6154" max="6154" width="8.6640625" style="3"/>
    <col min="6155" max="6155" width="16.88671875" style="3" customWidth="1"/>
    <col min="6156" max="6400" width="8.6640625" style="3"/>
    <col min="6401" max="6401" width="28.44140625" style="3" customWidth="1"/>
    <col min="6402" max="6402" width="12.77734375" style="3" customWidth="1"/>
    <col min="6403" max="6403" width="10.44140625" style="3" customWidth="1"/>
    <col min="6404" max="6404" width="13.109375" style="3" customWidth="1"/>
    <col min="6405" max="6405" width="10.5546875" style="3" customWidth="1"/>
    <col min="6406" max="6406" width="6.44140625" style="3" customWidth="1"/>
    <col min="6407" max="6407" width="8.88671875" style="3" customWidth="1"/>
    <col min="6408" max="6408" width="10.6640625" style="3" customWidth="1"/>
    <col min="6409" max="6409" width="11.109375" style="3" customWidth="1"/>
    <col min="6410" max="6410" width="8.6640625" style="3"/>
    <col min="6411" max="6411" width="16.88671875" style="3" customWidth="1"/>
    <col min="6412" max="6656" width="8.6640625" style="3"/>
    <col min="6657" max="6657" width="28.44140625" style="3" customWidth="1"/>
    <col min="6658" max="6658" width="12.77734375" style="3" customWidth="1"/>
    <col min="6659" max="6659" width="10.44140625" style="3" customWidth="1"/>
    <col min="6660" max="6660" width="13.109375" style="3" customWidth="1"/>
    <col min="6661" max="6661" width="10.5546875" style="3" customWidth="1"/>
    <col min="6662" max="6662" width="6.44140625" style="3" customWidth="1"/>
    <col min="6663" max="6663" width="8.88671875" style="3" customWidth="1"/>
    <col min="6664" max="6664" width="10.6640625" style="3" customWidth="1"/>
    <col min="6665" max="6665" width="11.109375" style="3" customWidth="1"/>
    <col min="6666" max="6666" width="8.6640625" style="3"/>
    <col min="6667" max="6667" width="16.88671875" style="3" customWidth="1"/>
    <col min="6668" max="6912" width="8.6640625" style="3"/>
    <col min="6913" max="6913" width="28.44140625" style="3" customWidth="1"/>
    <col min="6914" max="6914" width="12.77734375" style="3" customWidth="1"/>
    <col min="6915" max="6915" width="10.44140625" style="3" customWidth="1"/>
    <col min="6916" max="6916" width="13.109375" style="3" customWidth="1"/>
    <col min="6917" max="6917" width="10.5546875" style="3" customWidth="1"/>
    <col min="6918" max="6918" width="6.44140625" style="3" customWidth="1"/>
    <col min="6919" max="6919" width="8.88671875" style="3" customWidth="1"/>
    <col min="6920" max="6920" width="10.6640625" style="3" customWidth="1"/>
    <col min="6921" max="6921" width="11.109375" style="3" customWidth="1"/>
    <col min="6922" max="6922" width="8.6640625" style="3"/>
    <col min="6923" max="6923" width="16.88671875" style="3" customWidth="1"/>
    <col min="6924" max="7168" width="8.6640625" style="3"/>
    <col min="7169" max="7169" width="28.44140625" style="3" customWidth="1"/>
    <col min="7170" max="7170" width="12.77734375" style="3" customWidth="1"/>
    <col min="7171" max="7171" width="10.44140625" style="3" customWidth="1"/>
    <col min="7172" max="7172" width="13.109375" style="3" customWidth="1"/>
    <col min="7173" max="7173" width="10.5546875" style="3" customWidth="1"/>
    <col min="7174" max="7174" width="6.44140625" style="3" customWidth="1"/>
    <col min="7175" max="7175" width="8.88671875" style="3" customWidth="1"/>
    <col min="7176" max="7176" width="10.6640625" style="3" customWidth="1"/>
    <col min="7177" max="7177" width="11.109375" style="3" customWidth="1"/>
    <col min="7178" max="7178" width="8.6640625" style="3"/>
    <col min="7179" max="7179" width="16.88671875" style="3" customWidth="1"/>
    <col min="7180" max="7424" width="8.6640625" style="3"/>
    <col min="7425" max="7425" width="28.44140625" style="3" customWidth="1"/>
    <col min="7426" max="7426" width="12.77734375" style="3" customWidth="1"/>
    <col min="7427" max="7427" width="10.44140625" style="3" customWidth="1"/>
    <col min="7428" max="7428" width="13.109375" style="3" customWidth="1"/>
    <col min="7429" max="7429" width="10.5546875" style="3" customWidth="1"/>
    <col min="7430" max="7430" width="6.44140625" style="3" customWidth="1"/>
    <col min="7431" max="7431" width="8.88671875" style="3" customWidth="1"/>
    <col min="7432" max="7432" width="10.6640625" style="3" customWidth="1"/>
    <col min="7433" max="7433" width="11.109375" style="3" customWidth="1"/>
    <col min="7434" max="7434" width="8.6640625" style="3"/>
    <col min="7435" max="7435" width="16.88671875" style="3" customWidth="1"/>
    <col min="7436" max="7680" width="8.6640625" style="3"/>
    <col min="7681" max="7681" width="28.44140625" style="3" customWidth="1"/>
    <col min="7682" max="7682" width="12.77734375" style="3" customWidth="1"/>
    <col min="7683" max="7683" width="10.44140625" style="3" customWidth="1"/>
    <col min="7684" max="7684" width="13.109375" style="3" customWidth="1"/>
    <col min="7685" max="7685" width="10.5546875" style="3" customWidth="1"/>
    <col min="7686" max="7686" width="6.44140625" style="3" customWidth="1"/>
    <col min="7687" max="7687" width="8.88671875" style="3" customWidth="1"/>
    <col min="7688" max="7688" width="10.6640625" style="3" customWidth="1"/>
    <col min="7689" max="7689" width="11.109375" style="3" customWidth="1"/>
    <col min="7690" max="7690" width="8.6640625" style="3"/>
    <col min="7691" max="7691" width="16.88671875" style="3" customWidth="1"/>
    <col min="7692" max="7936" width="8.6640625" style="3"/>
    <col min="7937" max="7937" width="28.44140625" style="3" customWidth="1"/>
    <col min="7938" max="7938" width="12.77734375" style="3" customWidth="1"/>
    <col min="7939" max="7939" width="10.44140625" style="3" customWidth="1"/>
    <col min="7940" max="7940" width="13.109375" style="3" customWidth="1"/>
    <col min="7941" max="7941" width="10.5546875" style="3" customWidth="1"/>
    <col min="7942" max="7942" width="6.44140625" style="3" customWidth="1"/>
    <col min="7943" max="7943" width="8.88671875" style="3" customWidth="1"/>
    <col min="7944" max="7944" width="10.6640625" style="3" customWidth="1"/>
    <col min="7945" max="7945" width="11.109375" style="3" customWidth="1"/>
    <col min="7946" max="7946" width="8.6640625" style="3"/>
    <col min="7947" max="7947" width="16.88671875" style="3" customWidth="1"/>
    <col min="7948" max="8192" width="8.6640625" style="3"/>
    <col min="8193" max="8193" width="28.44140625" style="3" customWidth="1"/>
    <col min="8194" max="8194" width="12.77734375" style="3" customWidth="1"/>
    <col min="8195" max="8195" width="10.44140625" style="3" customWidth="1"/>
    <col min="8196" max="8196" width="13.109375" style="3" customWidth="1"/>
    <col min="8197" max="8197" width="10.5546875" style="3" customWidth="1"/>
    <col min="8198" max="8198" width="6.44140625" style="3" customWidth="1"/>
    <col min="8199" max="8199" width="8.88671875" style="3" customWidth="1"/>
    <col min="8200" max="8200" width="10.6640625" style="3" customWidth="1"/>
    <col min="8201" max="8201" width="11.109375" style="3" customWidth="1"/>
    <col min="8202" max="8202" width="8.6640625" style="3"/>
    <col min="8203" max="8203" width="16.88671875" style="3" customWidth="1"/>
    <col min="8204" max="8448" width="8.6640625" style="3"/>
    <col min="8449" max="8449" width="28.44140625" style="3" customWidth="1"/>
    <col min="8450" max="8450" width="12.77734375" style="3" customWidth="1"/>
    <col min="8451" max="8451" width="10.44140625" style="3" customWidth="1"/>
    <col min="8452" max="8452" width="13.109375" style="3" customWidth="1"/>
    <col min="8453" max="8453" width="10.5546875" style="3" customWidth="1"/>
    <col min="8454" max="8454" width="6.44140625" style="3" customWidth="1"/>
    <col min="8455" max="8455" width="8.88671875" style="3" customWidth="1"/>
    <col min="8456" max="8456" width="10.6640625" style="3" customWidth="1"/>
    <col min="8457" max="8457" width="11.109375" style="3" customWidth="1"/>
    <col min="8458" max="8458" width="8.6640625" style="3"/>
    <col min="8459" max="8459" width="16.88671875" style="3" customWidth="1"/>
    <col min="8460" max="8704" width="8.6640625" style="3"/>
    <col min="8705" max="8705" width="28.44140625" style="3" customWidth="1"/>
    <col min="8706" max="8706" width="12.77734375" style="3" customWidth="1"/>
    <col min="8707" max="8707" width="10.44140625" style="3" customWidth="1"/>
    <col min="8708" max="8708" width="13.109375" style="3" customWidth="1"/>
    <col min="8709" max="8709" width="10.5546875" style="3" customWidth="1"/>
    <col min="8710" max="8710" width="6.44140625" style="3" customWidth="1"/>
    <col min="8711" max="8711" width="8.88671875" style="3" customWidth="1"/>
    <col min="8712" max="8712" width="10.6640625" style="3" customWidth="1"/>
    <col min="8713" max="8713" width="11.109375" style="3" customWidth="1"/>
    <col min="8714" max="8714" width="8.6640625" style="3"/>
    <col min="8715" max="8715" width="16.88671875" style="3" customWidth="1"/>
    <col min="8716" max="8960" width="8.6640625" style="3"/>
    <col min="8961" max="8961" width="28.44140625" style="3" customWidth="1"/>
    <col min="8962" max="8962" width="12.77734375" style="3" customWidth="1"/>
    <col min="8963" max="8963" width="10.44140625" style="3" customWidth="1"/>
    <col min="8964" max="8964" width="13.109375" style="3" customWidth="1"/>
    <col min="8965" max="8965" width="10.5546875" style="3" customWidth="1"/>
    <col min="8966" max="8966" width="6.44140625" style="3" customWidth="1"/>
    <col min="8967" max="8967" width="8.88671875" style="3" customWidth="1"/>
    <col min="8968" max="8968" width="10.6640625" style="3" customWidth="1"/>
    <col min="8969" max="8969" width="11.109375" style="3" customWidth="1"/>
    <col min="8970" max="8970" width="8.6640625" style="3"/>
    <col min="8971" max="8971" width="16.88671875" style="3" customWidth="1"/>
    <col min="8972" max="9216" width="8.6640625" style="3"/>
    <col min="9217" max="9217" width="28.44140625" style="3" customWidth="1"/>
    <col min="9218" max="9218" width="12.77734375" style="3" customWidth="1"/>
    <col min="9219" max="9219" width="10.44140625" style="3" customWidth="1"/>
    <col min="9220" max="9220" width="13.109375" style="3" customWidth="1"/>
    <col min="9221" max="9221" width="10.5546875" style="3" customWidth="1"/>
    <col min="9222" max="9222" width="6.44140625" style="3" customWidth="1"/>
    <col min="9223" max="9223" width="8.88671875" style="3" customWidth="1"/>
    <col min="9224" max="9224" width="10.6640625" style="3" customWidth="1"/>
    <col min="9225" max="9225" width="11.109375" style="3" customWidth="1"/>
    <col min="9226" max="9226" width="8.6640625" style="3"/>
    <col min="9227" max="9227" width="16.88671875" style="3" customWidth="1"/>
    <col min="9228" max="9472" width="8.6640625" style="3"/>
    <col min="9473" max="9473" width="28.44140625" style="3" customWidth="1"/>
    <col min="9474" max="9474" width="12.77734375" style="3" customWidth="1"/>
    <col min="9475" max="9475" width="10.44140625" style="3" customWidth="1"/>
    <col min="9476" max="9476" width="13.109375" style="3" customWidth="1"/>
    <col min="9477" max="9477" width="10.5546875" style="3" customWidth="1"/>
    <col min="9478" max="9478" width="6.44140625" style="3" customWidth="1"/>
    <col min="9479" max="9479" width="8.88671875" style="3" customWidth="1"/>
    <col min="9480" max="9480" width="10.6640625" style="3" customWidth="1"/>
    <col min="9481" max="9481" width="11.109375" style="3" customWidth="1"/>
    <col min="9482" max="9482" width="8.6640625" style="3"/>
    <col min="9483" max="9483" width="16.88671875" style="3" customWidth="1"/>
    <col min="9484" max="9728" width="8.6640625" style="3"/>
    <col min="9729" max="9729" width="28.44140625" style="3" customWidth="1"/>
    <col min="9730" max="9730" width="12.77734375" style="3" customWidth="1"/>
    <col min="9731" max="9731" width="10.44140625" style="3" customWidth="1"/>
    <col min="9732" max="9732" width="13.109375" style="3" customWidth="1"/>
    <col min="9733" max="9733" width="10.5546875" style="3" customWidth="1"/>
    <col min="9734" max="9734" width="6.44140625" style="3" customWidth="1"/>
    <col min="9735" max="9735" width="8.88671875" style="3" customWidth="1"/>
    <col min="9736" max="9736" width="10.6640625" style="3" customWidth="1"/>
    <col min="9737" max="9737" width="11.109375" style="3" customWidth="1"/>
    <col min="9738" max="9738" width="8.6640625" style="3"/>
    <col min="9739" max="9739" width="16.88671875" style="3" customWidth="1"/>
    <col min="9740" max="9984" width="8.6640625" style="3"/>
    <col min="9985" max="9985" width="28.44140625" style="3" customWidth="1"/>
    <col min="9986" max="9986" width="12.77734375" style="3" customWidth="1"/>
    <col min="9987" max="9987" width="10.44140625" style="3" customWidth="1"/>
    <col min="9988" max="9988" width="13.109375" style="3" customWidth="1"/>
    <col min="9989" max="9989" width="10.5546875" style="3" customWidth="1"/>
    <col min="9990" max="9990" width="6.44140625" style="3" customWidth="1"/>
    <col min="9991" max="9991" width="8.88671875" style="3" customWidth="1"/>
    <col min="9992" max="9992" width="10.6640625" style="3" customWidth="1"/>
    <col min="9993" max="9993" width="11.109375" style="3" customWidth="1"/>
    <col min="9994" max="9994" width="8.6640625" style="3"/>
    <col min="9995" max="9995" width="16.88671875" style="3" customWidth="1"/>
    <col min="9996" max="10240" width="8.6640625" style="3"/>
    <col min="10241" max="10241" width="28.44140625" style="3" customWidth="1"/>
    <col min="10242" max="10242" width="12.77734375" style="3" customWidth="1"/>
    <col min="10243" max="10243" width="10.44140625" style="3" customWidth="1"/>
    <col min="10244" max="10244" width="13.109375" style="3" customWidth="1"/>
    <col min="10245" max="10245" width="10.5546875" style="3" customWidth="1"/>
    <col min="10246" max="10246" width="6.44140625" style="3" customWidth="1"/>
    <col min="10247" max="10247" width="8.88671875" style="3" customWidth="1"/>
    <col min="10248" max="10248" width="10.6640625" style="3" customWidth="1"/>
    <col min="10249" max="10249" width="11.109375" style="3" customWidth="1"/>
    <col min="10250" max="10250" width="8.6640625" style="3"/>
    <col min="10251" max="10251" width="16.88671875" style="3" customWidth="1"/>
    <col min="10252" max="10496" width="8.6640625" style="3"/>
    <col min="10497" max="10497" width="28.44140625" style="3" customWidth="1"/>
    <col min="10498" max="10498" width="12.77734375" style="3" customWidth="1"/>
    <col min="10499" max="10499" width="10.44140625" style="3" customWidth="1"/>
    <col min="10500" max="10500" width="13.109375" style="3" customWidth="1"/>
    <col min="10501" max="10501" width="10.5546875" style="3" customWidth="1"/>
    <col min="10502" max="10502" width="6.44140625" style="3" customWidth="1"/>
    <col min="10503" max="10503" width="8.88671875" style="3" customWidth="1"/>
    <col min="10504" max="10504" width="10.6640625" style="3" customWidth="1"/>
    <col min="10505" max="10505" width="11.109375" style="3" customWidth="1"/>
    <col min="10506" max="10506" width="8.6640625" style="3"/>
    <col min="10507" max="10507" width="16.88671875" style="3" customWidth="1"/>
    <col min="10508" max="10752" width="8.6640625" style="3"/>
    <col min="10753" max="10753" width="28.44140625" style="3" customWidth="1"/>
    <col min="10754" max="10754" width="12.77734375" style="3" customWidth="1"/>
    <col min="10755" max="10755" width="10.44140625" style="3" customWidth="1"/>
    <col min="10756" max="10756" width="13.109375" style="3" customWidth="1"/>
    <col min="10757" max="10757" width="10.5546875" style="3" customWidth="1"/>
    <col min="10758" max="10758" width="6.44140625" style="3" customWidth="1"/>
    <col min="10759" max="10759" width="8.88671875" style="3" customWidth="1"/>
    <col min="10760" max="10760" width="10.6640625" style="3" customWidth="1"/>
    <col min="10761" max="10761" width="11.109375" style="3" customWidth="1"/>
    <col min="10762" max="10762" width="8.6640625" style="3"/>
    <col min="10763" max="10763" width="16.88671875" style="3" customWidth="1"/>
    <col min="10764" max="11008" width="8.6640625" style="3"/>
    <col min="11009" max="11009" width="28.44140625" style="3" customWidth="1"/>
    <col min="11010" max="11010" width="12.77734375" style="3" customWidth="1"/>
    <col min="11011" max="11011" width="10.44140625" style="3" customWidth="1"/>
    <col min="11012" max="11012" width="13.109375" style="3" customWidth="1"/>
    <col min="11013" max="11013" width="10.5546875" style="3" customWidth="1"/>
    <col min="11014" max="11014" width="6.44140625" style="3" customWidth="1"/>
    <col min="11015" max="11015" width="8.88671875" style="3" customWidth="1"/>
    <col min="11016" max="11016" width="10.6640625" style="3" customWidth="1"/>
    <col min="11017" max="11017" width="11.109375" style="3" customWidth="1"/>
    <col min="11018" max="11018" width="8.6640625" style="3"/>
    <col min="11019" max="11019" width="16.88671875" style="3" customWidth="1"/>
    <col min="11020" max="11264" width="8.6640625" style="3"/>
    <col min="11265" max="11265" width="28.44140625" style="3" customWidth="1"/>
    <col min="11266" max="11266" width="12.77734375" style="3" customWidth="1"/>
    <col min="11267" max="11267" width="10.44140625" style="3" customWidth="1"/>
    <col min="11268" max="11268" width="13.109375" style="3" customWidth="1"/>
    <col min="11269" max="11269" width="10.5546875" style="3" customWidth="1"/>
    <col min="11270" max="11270" width="6.44140625" style="3" customWidth="1"/>
    <col min="11271" max="11271" width="8.88671875" style="3" customWidth="1"/>
    <col min="11272" max="11272" width="10.6640625" style="3" customWidth="1"/>
    <col min="11273" max="11273" width="11.109375" style="3" customWidth="1"/>
    <col min="11274" max="11274" width="8.6640625" style="3"/>
    <col min="11275" max="11275" width="16.88671875" style="3" customWidth="1"/>
    <col min="11276" max="11520" width="8.6640625" style="3"/>
    <col min="11521" max="11521" width="28.44140625" style="3" customWidth="1"/>
    <col min="11522" max="11522" width="12.77734375" style="3" customWidth="1"/>
    <col min="11523" max="11523" width="10.44140625" style="3" customWidth="1"/>
    <col min="11524" max="11524" width="13.109375" style="3" customWidth="1"/>
    <col min="11525" max="11525" width="10.5546875" style="3" customWidth="1"/>
    <col min="11526" max="11526" width="6.44140625" style="3" customWidth="1"/>
    <col min="11527" max="11527" width="8.88671875" style="3" customWidth="1"/>
    <col min="11528" max="11528" width="10.6640625" style="3" customWidth="1"/>
    <col min="11529" max="11529" width="11.109375" style="3" customWidth="1"/>
    <col min="11530" max="11530" width="8.6640625" style="3"/>
    <col min="11531" max="11531" width="16.88671875" style="3" customWidth="1"/>
    <col min="11532" max="11776" width="8.6640625" style="3"/>
    <col min="11777" max="11777" width="28.44140625" style="3" customWidth="1"/>
    <col min="11778" max="11778" width="12.77734375" style="3" customWidth="1"/>
    <col min="11779" max="11779" width="10.44140625" style="3" customWidth="1"/>
    <col min="11780" max="11780" width="13.109375" style="3" customWidth="1"/>
    <col min="11781" max="11781" width="10.5546875" style="3" customWidth="1"/>
    <col min="11782" max="11782" width="6.44140625" style="3" customWidth="1"/>
    <col min="11783" max="11783" width="8.88671875" style="3" customWidth="1"/>
    <col min="11784" max="11784" width="10.6640625" style="3" customWidth="1"/>
    <col min="11785" max="11785" width="11.109375" style="3" customWidth="1"/>
    <col min="11786" max="11786" width="8.6640625" style="3"/>
    <col min="11787" max="11787" width="16.88671875" style="3" customWidth="1"/>
    <col min="11788" max="12032" width="8.6640625" style="3"/>
    <col min="12033" max="12033" width="28.44140625" style="3" customWidth="1"/>
    <col min="12034" max="12034" width="12.77734375" style="3" customWidth="1"/>
    <col min="12035" max="12035" width="10.44140625" style="3" customWidth="1"/>
    <col min="12036" max="12036" width="13.109375" style="3" customWidth="1"/>
    <col min="12037" max="12037" width="10.5546875" style="3" customWidth="1"/>
    <col min="12038" max="12038" width="6.44140625" style="3" customWidth="1"/>
    <col min="12039" max="12039" width="8.88671875" style="3" customWidth="1"/>
    <col min="12040" max="12040" width="10.6640625" style="3" customWidth="1"/>
    <col min="12041" max="12041" width="11.109375" style="3" customWidth="1"/>
    <col min="12042" max="12042" width="8.6640625" style="3"/>
    <col min="12043" max="12043" width="16.88671875" style="3" customWidth="1"/>
    <col min="12044" max="12288" width="8.6640625" style="3"/>
    <col min="12289" max="12289" width="28.44140625" style="3" customWidth="1"/>
    <col min="12290" max="12290" width="12.77734375" style="3" customWidth="1"/>
    <col min="12291" max="12291" width="10.44140625" style="3" customWidth="1"/>
    <col min="12292" max="12292" width="13.109375" style="3" customWidth="1"/>
    <col min="12293" max="12293" width="10.5546875" style="3" customWidth="1"/>
    <col min="12294" max="12294" width="6.44140625" style="3" customWidth="1"/>
    <col min="12295" max="12295" width="8.88671875" style="3" customWidth="1"/>
    <col min="12296" max="12296" width="10.6640625" style="3" customWidth="1"/>
    <col min="12297" max="12297" width="11.109375" style="3" customWidth="1"/>
    <col min="12298" max="12298" width="8.6640625" style="3"/>
    <col min="12299" max="12299" width="16.88671875" style="3" customWidth="1"/>
    <col min="12300" max="12544" width="8.6640625" style="3"/>
    <col min="12545" max="12545" width="28.44140625" style="3" customWidth="1"/>
    <col min="12546" max="12546" width="12.77734375" style="3" customWidth="1"/>
    <col min="12547" max="12547" width="10.44140625" style="3" customWidth="1"/>
    <col min="12548" max="12548" width="13.109375" style="3" customWidth="1"/>
    <col min="12549" max="12549" width="10.5546875" style="3" customWidth="1"/>
    <col min="12550" max="12550" width="6.44140625" style="3" customWidth="1"/>
    <col min="12551" max="12551" width="8.88671875" style="3" customWidth="1"/>
    <col min="12552" max="12552" width="10.6640625" style="3" customWidth="1"/>
    <col min="12553" max="12553" width="11.109375" style="3" customWidth="1"/>
    <col min="12554" max="12554" width="8.6640625" style="3"/>
    <col min="12555" max="12555" width="16.88671875" style="3" customWidth="1"/>
    <col min="12556" max="12800" width="8.6640625" style="3"/>
    <col min="12801" max="12801" width="28.44140625" style="3" customWidth="1"/>
    <col min="12802" max="12802" width="12.77734375" style="3" customWidth="1"/>
    <col min="12803" max="12803" width="10.44140625" style="3" customWidth="1"/>
    <col min="12804" max="12804" width="13.109375" style="3" customWidth="1"/>
    <col min="12805" max="12805" width="10.5546875" style="3" customWidth="1"/>
    <col min="12806" max="12806" width="6.44140625" style="3" customWidth="1"/>
    <col min="12807" max="12807" width="8.88671875" style="3" customWidth="1"/>
    <col min="12808" max="12808" width="10.6640625" style="3" customWidth="1"/>
    <col min="12809" max="12809" width="11.109375" style="3" customWidth="1"/>
    <col min="12810" max="12810" width="8.6640625" style="3"/>
    <col min="12811" max="12811" width="16.88671875" style="3" customWidth="1"/>
    <col min="12812" max="13056" width="8.6640625" style="3"/>
    <col min="13057" max="13057" width="28.44140625" style="3" customWidth="1"/>
    <col min="13058" max="13058" width="12.77734375" style="3" customWidth="1"/>
    <col min="13059" max="13059" width="10.44140625" style="3" customWidth="1"/>
    <col min="13060" max="13060" width="13.109375" style="3" customWidth="1"/>
    <col min="13061" max="13061" width="10.5546875" style="3" customWidth="1"/>
    <col min="13062" max="13062" width="6.44140625" style="3" customWidth="1"/>
    <col min="13063" max="13063" width="8.88671875" style="3" customWidth="1"/>
    <col min="13064" max="13064" width="10.6640625" style="3" customWidth="1"/>
    <col min="13065" max="13065" width="11.109375" style="3" customWidth="1"/>
    <col min="13066" max="13066" width="8.6640625" style="3"/>
    <col min="13067" max="13067" width="16.88671875" style="3" customWidth="1"/>
    <col min="13068" max="13312" width="8.6640625" style="3"/>
    <col min="13313" max="13313" width="28.44140625" style="3" customWidth="1"/>
    <col min="13314" max="13314" width="12.77734375" style="3" customWidth="1"/>
    <col min="13315" max="13315" width="10.44140625" style="3" customWidth="1"/>
    <col min="13316" max="13316" width="13.109375" style="3" customWidth="1"/>
    <col min="13317" max="13317" width="10.5546875" style="3" customWidth="1"/>
    <col min="13318" max="13318" width="6.44140625" style="3" customWidth="1"/>
    <col min="13319" max="13319" width="8.88671875" style="3" customWidth="1"/>
    <col min="13320" max="13320" width="10.6640625" style="3" customWidth="1"/>
    <col min="13321" max="13321" width="11.109375" style="3" customWidth="1"/>
    <col min="13322" max="13322" width="8.6640625" style="3"/>
    <col min="13323" max="13323" width="16.88671875" style="3" customWidth="1"/>
    <col min="13324" max="13568" width="8.6640625" style="3"/>
    <col min="13569" max="13569" width="28.44140625" style="3" customWidth="1"/>
    <col min="13570" max="13570" width="12.77734375" style="3" customWidth="1"/>
    <col min="13571" max="13571" width="10.44140625" style="3" customWidth="1"/>
    <col min="13572" max="13572" width="13.109375" style="3" customWidth="1"/>
    <col min="13573" max="13573" width="10.5546875" style="3" customWidth="1"/>
    <col min="13574" max="13574" width="6.44140625" style="3" customWidth="1"/>
    <col min="13575" max="13575" width="8.88671875" style="3" customWidth="1"/>
    <col min="13576" max="13576" width="10.6640625" style="3" customWidth="1"/>
    <col min="13577" max="13577" width="11.109375" style="3" customWidth="1"/>
    <col min="13578" max="13578" width="8.6640625" style="3"/>
    <col min="13579" max="13579" width="16.88671875" style="3" customWidth="1"/>
    <col min="13580" max="13824" width="8.6640625" style="3"/>
    <col min="13825" max="13825" width="28.44140625" style="3" customWidth="1"/>
    <col min="13826" max="13826" width="12.77734375" style="3" customWidth="1"/>
    <col min="13827" max="13827" width="10.44140625" style="3" customWidth="1"/>
    <col min="13828" max="13828" width="13.109375" style="3" customWidth="1"/>
    <col min="13829" max="13829" width="10.5546875" style="3" customWidth="1"/>
    <col min="13830" max="13830" width="6.44140625" style="3" customWidth="1"/>
    <col min="13831" max="13831" width="8.88671875" style="3" customWidth="1"/>
    <col min="13832" max="13832" width="10.6640625" style="3" customWidth="1"/>
    <col min="13833" max="13833" width="11.109375" style="3" customWidth="1"/>
    <col min="13834" max="13834" width="8.6640625" style="3"/>
    <col min="13835" max="13835" width="16.88671875" style="3" customWidth="1"/>
    <col min="13836" max="14080" width="8.6640625" style="3"/>
    <col min="14081" max="14081" width="28.44140625" style="3" customWidth="1"/>
    <col min="14082" max="14082" width="12.77734375" style="3" customWidth="1"/>
    <col min="14083" max="14083" width="10.44140625" style="3" customWidth="1"/>
    <col min="14084" max="14084" width="13.109375" style="3" customWidth="1"/>
    <col min="14085" max="14085" width="10.5546875" style="3" customWidth="1"/>
    <col min="14086" max="14086" width="6.44140625" style="3" customWidth="1"/>
    <col min="14087" max="14087" width="8.88671875" style="3" customWidth="1"/>
    <col min="14088" max="14088" width="10.6640625" style="3" customWidth="1"/>
    <col min="14089" max="14089" width="11.109375" style="3" customWidth="1"/>
    <col min="14090" max="14090" width="8.6640625" style="3"/>
    <col min="14091" max="14091" width="16.88671875" style="3" customWidth="1"/>
    <col min="14092" max="14336" width="8.6640625" style="3"/>
    <col min="14337" max="14337" width="28.44140625" style="3" customWidth="1"/>
    <col min="14338" max="14338" width="12.77734375" style="3" customWidth="1"/>
    <col min="14339" max="14339" width="10.44140625" style="3" customWidth="1"/>
    <col min="14340" max="14340" width="13.109375" style="3" customWidth="1"/>
    <col min="14341" max="14341" width="10.5546875" style="3" customWidth="1"/>
    <col min="14342" max="14342" width="6.44140625" style="3" customWidth="1"/>
    <col min="14343" max="14343" width="8.88671875" style="3" customWidth="1"/>
    <col min="14344" max="14344" width="10.6640625" style="3" customWidth="1"/>
    <col min="14345" max="14345" width="11.109375" style="3" customWidth="1"/>
    <col min="14346" max="14346" width="8.6640625" style="3"/>
    <col min="14347" max="14347" width="16.88671875" style="3" customWidth="1"/>
    <col min="14348" max="14592" width="8.6640625" style="3"/>
    <col min="14593" max="14593" width="28.44140625" style="3" customWidth="1"/>
    <col min="14594" max="14594" width="12.77734375" style="3" customWidth="1"/>
    <col min="14595" max="14595" width="10.44140625" style="3" customWidth="1"/>
    <col min="14596" max="14596" width="13.109375" style="3" customWidth="1"/>
    <col min="14597" max="14597" width="10.5546875" style="3" customWidth="1"/>
    <col min="14598" max="14598" width="6.44140625" style="3" customWidth="1"/>
    <col min="14599" max="14599" width="8.88671875" style="3" customWidth="1"/>
    <col min="14600" max="14600" width="10.6640625" style="3" customWidth="1"/>
    <col min="14601" max="14601" width="11.109375" style="3" customWidth="1"/>
    <col min="14602" max="14602" width="8.6640625" style="3"/>
    <col min="14603" max="14603" width="16.88671875" style="3" customWidth="1"/>
    <col min="14604" max="14848" width="8.6640625" style="3"/>
    <col min="14849" max="14849" width="28.44140625" style="3" customWidth="1"/>
    <col min="14850" max="14850" width="12.77734375" style="3" customWidth="1"/>
    <col min="14851" max="14851" width="10.44140625" style="3" customWidth="1"/>
    <col min="14852" max="14852" width="13.109375" style="3" customWidth="1"/>
    <col min="14853" max="14853" width="10.5546875" style="3" customWidth="1"/>
    <col min="14854" max="14854" width="6.44140625" style="3" customWidth="1"/>
    <col min="14855" max="14855" width="8.88671875" style="3" customWidth="1"/>
    <col min="14856" max="14856" width="10.6640625" style="3" customWidth="1"/>
    <col min="14857" max="14857" width="11.109375" style="3" customWidth="1"/>
    <col min="14858" max="14858" width="8.6640625" style="3"/>
    <col min="14859" max="14859" width="16.88671875" style="3" customWidth="1"/>
    <col min="14860" max="15104" width="8.6640625" style="3"/>
    <col min="15105" max="15105" width="28.44140625" style="3" customWidth="1"/>
    <col min="15106" max="15106" width="12.77734375" style="3" customWidth="1"/>
    <col min="15107" max="15107" width="10.44140625" style="3" customWidth="1"/>
    <col min="15108" max="15108" width="13.109375" style="3" customWidth="1"/>
    <col min="15109" max="15109" width="10.5546875" style="3" customWidth="1"/>
    <col min="15110" max="15110" width="6.44140625" style="3" customWidth="1"/>
    <col min="15111" max="15111" width="8.88671875" style="3" customWidth="1"/>
    <col min="15112" max="15112" width="10.6640625" style="3" customWidth="1"/>
    <col min="15113" max="15113" width="11.109375" style="3" customWidth="1"/>
    <col min="15114" max="15114" width="8.6640625" style="3"/>
    <col min="15115" max="15115" width="16.88671875" style="3" customWidth="1"/>
    <col min="15116" max="15360" width="8.6640625" style="3"/>
    <col min="15361" max="15361" width="28.44140625" style="3" customWidth="1"/>
    <col min="15362" max="15362" width="12.77734375" style="3" customWidth="1"/>
    <col min="15363" max="15363" width="10.44140625" style="3" customWidth="1"/>
    <col min="15364" max="15364" width="13.109375" style="3" customWidth="1"/>
    <col min="15365" max="15365" width="10.5546875" style="3" customWidth="1"/>
    <col min="15366" max="15366" width="6.44140625" style="3" customWidth="1"/>
    <col min="15367" max="15367" width="8.88671875" style="3" customWidth="1"/>
    <col min="15368" max="15368" width="10.6640625" style="3" customWidth="1"/>
    <col min="15369" max="15369" width="11.109375" style="3" customWidth="1"/>
    <col min="15370" max="15370" width="8.6640625" style="3"/>
    <col min="15371" max="15371" width="16.88671875" style="3" customWidth="1"/>
    <col min="15372" max="15616" width="8.6640625" style="3"/>
    <col min="15617" max="15617" width="28.44140625" style="3" customWidth="1"/>
    <col min="15618" max="15618" width="12.77734375" style="3" customWidth="1"/>
    <col min="15619" max="15619" width="10.44140625" style="3" customWidth="1"/>
    <col min="15620" max="15620" width="13.109375" style="3" customWidth="1"/>
    <col min="15621" max="15621" width="10.5546875" style="3" customWidth="1"/>
    <col min="15622" max="15622" width="6.44140625" style="3" customWidth="1"/>
    <col min="15623" max="15623" width="8.88671875" style="3" customWidth="1"/>
    <col min="15624" max="15624" width="10.6640625" style="3" customWidth="1"/>
    <col min="15625" max="15625" width="11.109375" style="3" customWidth="1"/>
    <col min="15626" max="15626" width="8.6640625" style="3"/>
    <col min="15627" max="15627" width="16.88671875" style="3" customWidth="1"/>
    <col min="15628" max="15872" width="8.6640625" style="3"/>
    <col min="15873" max="15873" width="28.44140625" style="3" customWidth="1"/>
    <col min="15874" max="15874" width="12.77734375" style="3" customWidth="1"/>
    <col min="15875" max="15875" width="10.44140625" style="3" customWidth="1"/>
    <col min="15876" max="15876" width="13.109375" style="3" customWidth="1"/>
    <col min="15877" max="15877" width="10.5546875" style="3" customWidth="1"/>
    <col min="15878" max="15878" width="6.44140625" style="3" customWidth="1"/>
    <col min="15879" max="15879" width="8.88671875" style="3" customWidth="1"/>
    <col min="15880" max="15880" width="10.6640625" style="3" customWidth="1"/>
    <col min="15881" max="15881" width="11.109375" style="3" customWidth="1"/>
    <col min="15882" max="15882" width="8.6640625" style="3"/>
    <col min="15883" max="15883" width="16.88671875" style="3" customWidth="1"/>
    <col min="15884" max="16128" width="8.6640625" style="3"/>
    <col min="16129" max="16129" width="28.44140625" style="3" customWidth="1"/>
    <col min="16130" max="16130" width="12.77734375" style="3" customWidth="1"/>
    <col min="16131" max="16131" width="10.44140625" style="3" customWidth="1"/>
    <col min="16132" max="16132" width="13.109375" style="3" customWidth="1"/>
    <col min="16133" max="16133" width="10.5546875" style="3" customWidth="1"/>
    <col min="16134" max="16134" width="6.44140625" style="3" customWidth="1"/>
    <col min="16135" max="16135" width="8.88671875" style="3" customWidth="1"/>
    <col min="16136" max="16136" width="10.6640625" style="3" customWidth="1"/>
    <col min="16137" max="16137" width="11.109375" style="3" customWidth="1"/>
    <col min="16138" max="16138" width="8.6640625" style="3"/>
    <col min="16139" max="16139" width="16.88671875" style="3" customWidth="1"/>
    <col min="16140" max="16384" width="8.6640625" style="3"/>
  </cols>
  <sheetData>
    <row r="1" spans="1:11" x14ac:dyDescent="0.3">
      <c r="A1" s="235" t="s">
        <v>386</v>
      </c>
    </row>
    <row r="3" spans="1:11" x14ac:dyDescent="0.3">
      <c r="A3" s="356" t="s">
        <v>328</v>
      </c>
      <c r="B3" s="358" t="s">
        <v>393</v>
      </c>
      <c r="C3" s="359"/>
      <c r="D3" s="359"/>
      <c r="E3" s="360"/>
      <c r="F3" s="361" t="s">
        <v>387</v>
      </c>
      <c r="G3" s="362"/>
      <c r="H3" s="362"/>
      <c r="I3" s="363"/>
    </row>
    <row r="4" spans="1:11" ht="40.5" x14ac:dyDescent="0.3">
      <c r="A4" s="357"/>
      <c r="B4" s="297" t="s">
        <v>72</v>
      </c>
      <c r="C4" s="297" t="s">
        <v>388</v>
      </c>
      <c r="D4" s="298" t="s">
        <v>371</v>
      </c>
      <c r="E4" s="298" t="s">
        <v>388</v>
      </c>
      <c r="F4" s="299" t="s">
        <v>72</v>
      </c>
      <c r="G4" s="298" t="s">
        <v>388</v>
      </c>
      <c r="H4" s="298" t="s">
        <v>371</v>
      </c>
      <c r="I4" s="298" t="s">
        <v>388</v>
      </c>
    </row>
    <row r="5" spans="1:11" ht="36" customHeight="1" x14ac:dyDescent="0.3">
      <c r="A5" s="270" t="s">
        <v>345</v>
      </c>
      <c r="B5" s="74">
        <v>71</v>
      </c>
      <c r="C5" s="300">
        <f>B5*100/B12</f>
        <v>31.277533039647576</v>
      </c>
      <c r="D5" s="301">
        <f>33108300</f>
        <v>33108300</v>
      </c>
      <c r="E5" s="302">
        <f>D5*100/D12</f>
        <v>55.774028621244412</v>
      </c>
      <c r="F5" s="156">
        <f>15</f>
        <v>15</v>
      </c>
      <c r="G5" s="310">
        <f>F5*100/F12</f>
        <v>31.25</v>
      </c>
      <c r="H5" s="311">
        <f>5433881</f>
        <v>5433881</v>
      </c>
      <c r="I5" s="312">
        <f>H5*100/H12</f>
        <v>38.201188002820793</v>
      </c>
      <c r="K5" s="303"/>
    </row>
    <row r="6" spans="1:11" x14ac:dyDescent="0.3">
      <c r="A6" s="270" t="s">
        <v>348</v>
      </c>
      <c r="B6" s="74">
        <f>10+1</f>
        <v>11</v>
      </c>
      <c r="C6" s="300">
        <f>B6*100/B12</f>
        <v>4.8458149779735686</v>
      </c>
      <c r="D6" s="301">
        <f>325000+800000</f>
        <v>1125000</v>
      </c>
      <c r="E6" s="304">
        <f>D6*100/D12</f>
        <v>1.8951677434027105</v>
      </c>
      <c r="F6" s="156">
        <v>3</v>
      </c>
      <c r="G6" s="310">
        <f>F6*10/F12</f>
        <v>0.625</v>
      </c>
      <c r="H6" s="313">
        <f>356000</f>
        <v>356000</v>
      </c>
      <c r="I6" s="314">
        <f>H6*100/H12</f>
        <v>2.5027458144564081</v>
      </c>
    </row>
    <row r="7" spans="1:11" ht="23.25" customHeight="1" x14ac:dyDescent="0.3">
      <c r="A7" s="270" t="s">
        <v>350</v>
      </c>
      <c r="B7" s="74">
        <f>42+9</f>
        <v>51</v>
      </c>
      <c r="C7" s="300">
        <f>B7*100/B12</f>
        <v>22.466960352422909</v>
      </c>
      <c r="D7" s="301">
        <f>10849000+360000</f>
        <v>11209000</v>
      </c>
      <c r="E7" s="304">
        <f>D7*100/D12</f>
        <v>18.882609098489763</v>
      </c>
      <c r="F7" s="156">
        <v>9</v>
      </c>
      <c r="G7" s="310">
        <f>F7*100/F12</f>
        <v>18.75</v>
      </c>
      <c r="H7" s="313">
        <f>6283657</f>
        <v>6283657</v>
      </c>
      <c r="I7" s="314">
        <f>H7*100/H12</f>
        <v>44.175270382667726</v>
      </c>
    </row>
    <row r="8" spans="1:11" ht="27" customHeight="1" x14ac:dyDescent="0.3">
      <c r="A8" s="270" t="s">
        <v>353</v>
      </c>
      <c r="B8" s="74">
        <f>15+2</f>
        <v>17</v>
      </c>
      <c r="C8" s="300">
        <f>B8*100/B12</f>
        <v>7.4889867841409687</v>
      </c>
      <c r="D8" s="301">
        <f>1805000+1375000</f>
        <v>3180000</v>
      </c>
      <c r="E8" s="305">
        <f>D8*100/D12</f>
        <v>5.3570074880183283</v>
      </c>
      <c r="F8" s="156">
        <v>4</v>
      </c>
      <c r="G8" s="310">
        <f>F8*100/F12</f>
        <v>8.3333333333333339</v>
      </c>
      <c r="H8" s="313">
        <f>1240360</f>
        <v>1240360</v>
      </c>
      <c r="I8" s="314">
        <f>H8*100/H12</f>
        <v>8.7199601079189613</v>
      </c>
    </row>
    <row r="9" spans="1:11" ht="20.25" customHeight="1" x14ac:dyDescent="0.3">
      <c r="A9" s="270" t="s">
        <v>356</v>
      </c>
      <c r="B9" s="74">
        <v>7</v>
      </c>
      <c r="C9" s="300">
        <f>B9*100/B12</f>
        <v>3.0837004405286343</v>
      </c>
      <c r="D9" s="301">
        <f>282000</f>
        <v>282000</v>
      </c>
      <c r="E9" s="304">
        <f>D9*100/D12</f>
        <v>0.47505538101294609</v>
      </c>
      <c r="F9" s="156">
        <v>4</v>
      </c>
      <c r="G9" s="310">
        <f>F9*100/F12</f>
        <v>8.3333333333333339</v>
      </c>
      <c r="H9" s="315">
        <f>191860</f>
        <v>191860</v>
      </c>
      <c r="I9" s="314">
        <f>H9*100/H12</f>
        <v>1.3488112695550745</v>
      </c>
    </row>
    <row r="10" spans="1:11" ht="21.75" customHeight="1" x14ac:dyDescent="0.3">
      <c r="A10" s="270" t="s">
        <v>357</v>
      </c>
      <c r="B10" s="74">
        <v>3</v>
      </c>
      <c r="C10" s="300">
        <f>B10*100</f>
        <v>300</v>
      </c>
      <c r="D10" s="301">
        <v>230000</v>
      </c>
      <c r="E10" s="304">
        <f>D10*100/D12</f>
        <v>0.38745651642899859</v>
      </c>
      <c r="F10" s="156" t="s">
        <v>84</v>
      </c>
      <c r="G10" s="155" t="s">
        <v>84</v>
      </c>
      <c r="H10" s="315" t="s">
        <v>84</v>
      </c>
      <c r="I10" s="155" t="s">
        <v>84</v>
      </c>
    </row>
    <row r="11" spans="1:11" ht="27.75" customHeight="1" x14ac:dyDescent="0.3">
      <c r="A11" s="270" t="s">
        <v>359</v>
      </c>
      <c r="B11" s="264">
        <f>63+4</f>
        <v>67</v>
      </c>
      <c r="C11" s="300">
        <f>B11*100/B12</f>
        <v>29.515418502202643</v>
      </c>
      <c r="D11" s="301">
        <f>110000+10117200</f>
        <v>10227200</v>
      </c>
      <c r="E11" s="304">
        <f>D11*100/D12</f>
        <v>17.228675151402847</v>
      </c>
      <c r="F11" s="156">
        <v>13</v>
      </c>
      <c r="G11" s="155">
        <f>F11*100/F12</f>
        <v>27.083333333333332</v>
      </c>
      <c r="H11" s="313">
        <f>718619</f>
        <v>718619</v>
      </c>
      <c r="I11" s="314">
        <f>H11*100/H12</f>
        <v>5.052024422581038</v>
      </c>
    </row>
    <row r="12" spans="1:11" x14ac:dyDescent="0.3">
      <c r="A12" s="278" t="s">
        <v>82</v>
      </c>
      <c r="B12" s="5">
        <f t="shared" ref="B12" si="0">SUM(B5:B11)</f>
        <v>227</v>
      </c>
      <c r="C12" s="306"/>
      <c r="D12" s="307">
        <f>SUM(D5:D11)</f>
        <v>59361500</v>
      </c>
      <c r="E12" s="306"/>
      <c r="F12" s="156">
        <f>SUM(F5:F11)</f>
        <v>48</v>
      </c>
      <c r="G12" s="316"/>
      <c r="H12" s="317">
        <f>SUM(H5:H11)</f>
        <v>14224377</v>
      </c>
      <c r="I12" s="318"/>
    </row>
    <row r="14" spans="1:11" x14ac:dyDescent="0.3">
      <c r="A14" s="3" t="s">
        <v>394</v>
      </c>
    </row>
    <row r="15" spans="1:11" x14ac:dyDescent="0.3">
      <c r="A15" s="3" t="s">
        <v>389</v>
      </c>
    </row>
    <row r="16" spans="1:11" x14ac:dyDescent="0.3">
      <c r="A16" s="3" t="s">
        <v>395</v>
      </c>
    </row>
    <row r="17" spans="1:5" x14ac:dyDescent="0.3">
      <c r="A17" s="3" t="s">
        <v>390</v>
      </c>
    </row>
    <row r="18" spans="1:5" ht="40.5" x14ac:dyDescent="0.3">
      <c r="A18" s="298" t="s">
        <v>396</v>
      </c>
      <c r="B18" s="308" t="s">
        <v>391</v>
      </c>
      <c r="C18" s="309" t="s">
        <v>392</v>
      </c>
      <c r="D18" s="309"/>
      <c r="E18" s="309"/>
    </row>
    <row r="19" spans="1:5" x14ac:dyDescent="0.3">
      <c r="A19" s="364">
        <v>227</v>
      </c>
      <c r="B19" s="364">
        <v>48</v>
      </c>
      <c r="C19" s="366">
        <v>21.15</v>
      </c>
      <c r="D19" s="367"/>
      <c r="E19" s="368"/>
    </row>
    <row r="20" spans="1:5" x14ac:dyDescent="0.3">
      <c r="A20" s="365"/>
      <c r="B20" s="365"/>
      <c r="C20" s="369"/>
      <c r="D20" s="370"/>
      <c r="E20" s="371"/>
    </row>
  </sheetData>
  <mergeCells count="6">
    <mergeCell ref="A3:A4"/>
    <mergeCell ref="B3:E3"/>
    <mergeCell ref="F3:I3"/>
    <mergeCell ref="A19:A20"/>
    <mergeCell ref="B19:B20"/>
    <mergeCell ref="C19:E20"/>
  </mergeCells>
  <pageMargins left="0.70866141732283472" right="0.70866141732283472" top="0.74803149606299213" bottom="0.74803149606299213" header="0.31496062992125984" footer="0.31496062992125984"/>
  <pageSetup scale="90" firstPageNumber="24" orientation="landscape" useFirstPageNumber="1" verticalDpi="0" r:id="rId1"/>
  <headerFooter>
    <oddHeader>&amp;R&amp;P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view="pageBreakPreview" topLeftCell="A8" zoomScale="120" zoomScaleNormal="100" zoomScaleSheetLayoutView="120" workbookViewId="0">
      <selection activeCell="H20" sqref="H20"/>
    </sheetView>
  </sheetViews>
  <sheetFormatPr defaultColWidth="8.88671875" defaultRowHeight="20.25" x14ac:dyDescent="0.3"/>
  <cols>
    <col min="1" max="1" width="4.6640625" style="152" customWidth="1"/>
    <col min="2" max="2" width="20.5546875" style="152" customWidth="1"/>
    <col min="3" max="3" width="12" style="154" customWidth="1"/>
    <col min="4" max="8" width="10.109375" style="152" customWidth="1"/>
    <col min="9" max="9" width="8.88671875" style="152"/>
    <col min="10" max="10" width="12.44140625" style="152" customWidth="1"/>
    <col min="11" max="16384" width="8.88671875" style="152"/>
  </cols>
  <sheetData>
    <row r="1" spans="1:10" x14ac:dyDescent="0.3">
      <c r="A1" s="372" t="s">
        <v>65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0" x14ac:dyDescent="0.3">
      <c r="A2" s="372" t="s">
        <v>397</v>
      </c>
      <c r="B2" s="372"/>
      <c r="C2" s="372"/>
      <c r="D2" s="372"/>
      <c r="E2" s="372"/>
      <c r="F2" s="372"/>
      <c r="G2" s="372"/>
      <c r="H2" s="372"/>
      <c r="I2" s="372"/>
      <c r="J2" s="372"/>
    </row>
    <row r="3" spans="1:10" x14ac:dyDescent="0.3">
      <c r="A3" s="153" t="s">
        <v>0</v>
      </c>
    </row>
    <row r="4" spans="1:10" x14ac:dyDescent="0.3">
      <c r="A4" s="373" t="s">
        <v>17</v>
      </c>
      <c r="B4" s="373"/>
      <c r="C4" s="373"/>
    </row>
    <row r="5" spans="1:10" ht="13.5" customHeight="1" x14ac:dyDescent="0.3">
      <c r="A5" s="151"/>
    </row>
    <row r="6" spans="1:10" ht="60.75" x14ac:dyDescent="0.3">
      <c r="A6" s="155" t="s">
        <v>1</v>
      </c>
      <c r="B6" s="156" t="s">
        <v>2</v>
      </c>
      <c r="C6" s="157" t="s">
        <v>68</v>
      </c>
      <c r="D6" s="158" t="s">
        <v>10</v>
      </c>
      <c r="E6" s="159" t="s">
        <v>12</v>
      </c>
      <c r="F6" s="158" t="s">
        <v>11</v>
      </c>
      <c r="G6" s="159" t="s">
        <v>13</v>
      </c>
      <c r="H6" s="156" t="s">
        <v>14</v>
      </c>
      <c r="I6" s="156" t="s">
        <v>3</v>
      </c>
      <c r="J6" s="155" t="s">
        <v>4</v>
      </c>
    </row>
    <row r="7" spans="1:10" s="165" customFormat="1" ht="208.15" customHeight="1" x14ac:dyDescent="0.3">
      <c r="A7" s="163">
        <v>1</v>
      </c>
      <c r="B7" s="164" t="s">
        <v>96</v>
      </c>
      <c r="C7" s="22">
        <v>449000</v>
      </c>
      <c r="D7" s="13"/>
      <c r="E7" s="13"/>
      <c r="F7" s="14">
        <v>449000</v>
      </c>
      <c r="G7" s="13"/>
      <c r="H7" s="22">
        <f>F7</f>
        <v>449000</v>
      </c>
      <c r="I7" s="17" t="s">
        <v>16</v>
      </c>
      <c r="J7" s="9" t="s">
        <v>95</v>
      </c>
    </row>
    <row r="8" spans="1:10" s="165" customFormat="1" ht="215.45" customHeight="1" x14ac:dyDescent="0.3">
      <c r="A8" s="163">
        <v>2</v>
      </c>
      <c r="B8" s="164" t="s">
        <v>97</v>
      </c>
      <c r="C8" s="23">
        <v>228000</v>
      </c>
      <c r="D8" s="13"/>
      <c r="E8" s="13"/>
      <c r="F8" s="14">
        <v>228000</v>
      </c>
      <c r="G8" s="13"/>
      <c r="H8" s="14">
        <f>F8</f>
        <v>228000</v>
      </c>
      <c r="I8" s="17" t="s">
        <v>16</v>
      </c>
      <c r="J8" s="9" t="s">
        <v>95</v>
      </c>
    </row>
    <row r="9" spans="1:10" s="165" customFormat="1" ht="220.15" customHeight="1" x14ac:dyDescent="0.3">
      <c r="A9" s="163">
        <v>3</v>
      </c>
      <c r="B9" s="164" t="s">
        <v>87</v>
      </c>
      <c r="C9" s="24">
        <v>139000</v>
      </c>
      <c r="D9" s="13"/>
      <c r="E9" s="13"/>
      <c r="F9" s="14"/>
      <c r="G9" s="14">
        <v>136000</v>
      </c>
      <c r="H9" s="14">
        <v>3000</v>
      </c>
      <c r="I9" s="17" t="s">
        <v>16</v>
      </c>
      <c r="J9" s="9" t="s">
        <v>70</v>
      </c>
    </row>
    <row r="10" spans="1:10" ht="216.6" customHeight="1" x14ac:dyDescent="0.3">
      <c r="A10" s="163">
        <v>4</v>
      </c>
      <c r="B10" s="164" t="s">
        <v>88</v>
      </c>
      <c r="C10" s="26">
        <v>110000</v>
      </c>
      <c r="D10" s="167"/>
      <c r="E10" s="167"/>
      <c r="F10" s="14"/>
      <c r="G10" s="168">
        <v>108000</v>
      </c>
      <c r="H10" s="168">
        <v>2000</v>
      </c>
      <c r="I10" s="17" t="s">
        <v>16</v>
      </c>
      <c r="J10" s="9" t="s">
        <v>70</v>
      </c>
    </row>
    <row r="11" spans="1:10" s="165" customFormat="1" ht="201" customHeight="1" x14ac:dyDescent="0.3">
      <c r="A11" s="163">
        <v>5</v>
      </c>
      <c r="B11" s="164" t="s">
        <v>89</v>
      </c>
      <c r="C11" s="169">
        <v>227000</v>
      </c>
      <c r="D11" s="167"/>
      <c r="E11" s="167"/>
      <c r="F11" s="14"/>
      <c r="G11" s="167">
        <v>225000</v>
      </c>
      <c r="H11" s="168">
        <v>2000</v>
      </c>
      <c r="I11" s="17" t="s">
        <v>16</v>
      </c>
      <c r="J11" s="166" t="s">
        <v>70</v>
      </c>
    </row>
    <row r="12" spans="1:10" s="165" customFormat="1" ht="159.6" customHeight="1" x14ac:dyDescent="0.3">
      <c r="A12" s="163">
        <v>6</v>
      </c>
      <c r="B12" s="164" t="s">
        <v>90</v>
      </c>
      <c r="C12" s="27">
        <v>40000</v>
      </c>
      <c r="D12" s="167"/>
      <c r="E12" s="167"/>
      <c r="F12" s="14"/>
      <c r="G12" s="168">
        <v>40000</v>
      </c>
      <c r="H12" s="168">
        <v>0</v>
      </c>
      <c r="I12" s="9" t="s">
        <v>16</v>
      </c>
      <c r="J12" s="166" t="s">
        <v>70</v>
      </c>
    </row>
    <row r="13" spans="1:10" s="165" customFormat="1" ht="195.6" customHeight="1" x14ac:dyDescent="0.3">
      <c r="A13" s="163">
        <v>7</v>
      </c>
      <c r="B13" s="164" t="s">
        <v>94</v>
      </c>
      <c r="C13" s="28">
        <v>448000</v>
      </c>
      <c r="D13" s="168"/>
      <c r="E13" s="167"/>
      <c r="F13" s="14"/>
      <c r="G13" s="170">
        <v>448000</v>
      </c>
      <c r="H13" s="168">
        <v>0</v>
      </c>
      <c r="I13" s="9" t="s">
        <v>16</v>
      </c>
      <c r="J13" s="9" t="s">
        <v>95</v>
      </c>
    </row>
    <row r="14" spans="1:10" s="165" customFormat="1" ht="213" customHeight="1" x14ac:dyDescent="0.3">
      <c r="A14" s="163">
        <v>8</v>
      </c>
      <c r="B14" s="164" t="s">
        <v>91</v>
      </c>
      <c r="C14" s="319">
        <v>396000</v>
      </c>
      <c r="D14" s="167"/>
      <c r="E14" s="167"/>
      <c r="F14" s="168"/>
      <c r="G14" s="168">
        <v>391000</v>
      </c>
      <c r="H14" s="168">
        <v>5000</v>
      </c>
      <c r="I14" s="9" t="s">
        <v>16</v>
      </c>
      <c r="J14" s="9" t="s">
        <v>70</v>
      </c>
    </row>
    <row r="15" spans="1:10" s="165" customFormat="1" ht="321" customHeight="1" x14ac:dyDescent="0.3">
      <c r="A15" s="163">
        <v>9</v>
      </c>
      <c r="B15" s="164" t="s">
        <v>98</v>
      </c>
      <c r="C15" s="19">
        <v>350000</v>
      </c>
      <c r="D15" s="167"/>
      <c r="E15" s="167"/>
      <c r="F15" s="168">
        <v>350000</v>
      </c>
      <c r="G15" s="167"/>
      <c r="H15" s="168">
        <f>F15</f>
        <v>350000</v>
      </c>
      <c r="I15" s="9" t="s">
        <v>16</v>
      </c>
      <c r="J15" s="9" t="s">
        <v>95</v>
      </c>
    </row>
    <row r="16" spans="1:10" s="165" customFormat="1" ht="195" customHeight="1" x14ac:dyDescent="0.3">
      <c r="A16" s="163">
        <v>10</v>
      </c>
      <c r="B16" s="164" t="s">
        <v>99</v>
      </c>
      <c r="C16" s="19">
        <v>498000</v>
      </c>
      <c r="D16" s="167"/>
      <c r="E16" s="167"/>
      <c r="F16" s="168">
        <v>498000</v>
      </c>
      <c r="G16" s="167"/>
      <c r="H16" s="168">
        <f>F16</f>
        <v>498000</v>
      </c>
      <c r="I16" s="9" t="s">
        <v>16</v>
      </c>
      <c r="J16" s="9" t="s">
        <v>95</v>
      </c>
    </row>
    <row r="17" spans="1:10" s="165" customFormat="1" ht="184.15" customHeight="1" x14ac:dyDescent="0.3">
      <c r="A17" s="163">
        <v>11</v>
      </c>
      <c r="B17" s="164" t="s">
        <v>100</v>
      </c>
      <c r="C17" s="30">
        <v>498000</v>
      </c>
      <c r="D17" s="167"/>
      <c r="E17" s="167"/>
      <c r="F17" s="168">
        <v>498000</v>
      </c>
      <c r="G17" s="167"/>
      <c r="H17" s="168">
        <f>F17</f>
        <v>498000</v>
      </c>
      <c r="I17" s="9" t="s">
        <v>16</v>
      </c>
      <c r="J17" s="9" t="s">
        <v>95</v>
      </c>
    </row>
    <row r="18" spans="1:10" s="165" customFormat="1" ht="195.6" customHeight="1" x14ac:dyDescent="0.3">
      <c r="A18" s="163">
        <v>12</v>
      </c>
      <c r="B18" s="164" t="s">
        <v>93</v>
      </c>
      <c r="C18" s="19">
        <v>397000</v>
      </c>
      <c r="D18" s="167"/>
      <c r="E18" s="167"/>
      <c r="F18" s="168"/>
      <c r="G18" s="168">
        <v>391000</v>
      </c>
      <c r="H18" s="168">
        <v>6000</v>
      </c>
      <c r="I18" s="9" t="s">
        <v>16</v>
      </c>
      <c r="J18" s="166" t="s">
        <v>70</v>
      </c>
    </row>
    <row r="19" spans="1:10" s="165" customFormat="1" ht="196.9" customHeight="1" x14ac:dyDescent="0.3">
      <c r="A19" s="163">
        <v>13</v>
      </c>
      <c r="B19" s="164" t="s">
        <v>92</v>
      </c>
      <c r="C19" s="32">
        <v>448000</v>
      </c>
      <c r="D19" s="166"/>
      <c r="E19" s="166"/>
      <c r="F19" s="28"/>
      <c r="G19" s="169">
        <v>431000</v>
      </c>
      <c r="H19" s="169">
        <v>17000</v>
      </c>
      <c r="I19" s="9" t="s">
        <v>16</v>
      </c>
      <c r="J19" s="166" t="s">
        <v>70</v>
      </c>
    </row>
    <row r="20" spans="1:10" s="171" customFormat="1" ht="218.45" customHeight="1" x14ac:dyDescent="0.3">
      <c r="A20" s="163">
        <v>14</v>
      </c>
      <c r="B20" s="164" t="s">
        <v>101</v>
      </c>
      <c r="C20" s="19">
        <v>410000</v>
      </c>
      <c r="D20" s="166"/>
      <c r="E20" s="166"/>
      <c r="F20" s="166">
        <v>410000</v>
      </c>
      <c r="G20" s="166">
        <v>0</v>
      </c>
      <c r="H20" s="169">
        <f>F20</f>
        <v>410000</v>
      </c>
      <c r="I20" s="9" t="s">
        <v>16</v>
      </c>
      <c r="J20" s="9" t="s">
        <v>95</v>
      </c>
    </row>
    <row r="21" spans="1:10" ht="27.75" customHeight="1" x14ac:dyDescent="0.3">
      <c r="A21" s="160"/>
      <c r="B21" s="159" t="s">
        <v>82</v>
      </c>
      <c r="C21" s="161">
        <f>SUM(C7:C20)</f>
        <v>4638000</v>
      </c>
      <c r="D21" s="161"/>
      <c r="E21" s="161"/>
      <c r="F21" s="161">
        <f>SUM(F7:F20)</f>
        <v>2433000</v>
      </c>
      <c r="G21" s="161">
        <f>SUM(G7:G20)</f>
        <v>2170000</v>
      </c>
      <c r="H21" s="161">
        <f>SUM(H7:H20)</f>
        <v>2468000</v>
      </c>
      <c r="I21" s="160"/>
      <c r="J21" s="160"/>
    </row>
    <row r="22" spans="1:10" ht="26.25" customHeight="1" x14ac:dyDescent="0.3">
      <c r="B22" s="162"/>
    </row>
    <row r="23" spans="1:10" ht="26.25" customHeight="1" x14ac:dyDescent="0.3"/>
    <row r="24" spans="1:10" ht="26.25" customHeight="1" x14ac:dyDescent="0.3"/>
    <row r="25" spans="1:10" ht="26.25" customHeight="1" x14ac:dyDescent="0.3"/>
    <row r="26" spans="1:10" ht="26.25" customHeight="1" x14ac:dyDescent="0.3"/>
  </sheetData>
  <mergeCells count="3">
    <mergeCell ref="A1:J1"/>
    <mergeCell ref="A2:J2"/>
    <mergeCell ref="A4:C4"/>
  </mergeCells>
  <pageMargins left="0.19685039370078741" right="0.19685039370078741" top="0.39370078740157483" bottom="0.39370078740157483" header="0.31496062992125984" footer="0.31496062992125984"/>
  <pageSetup scale="97" firstPageNumber="25" orientation="landscape" useFirstPageNumber="1" r:id="rId1"/>
  <headerFooter>
    <oddHeader>&amp;R&amp;P</oddHeader>
    <oddFooter>&amp;R&amp;P</oddFooter>
  </headerFooter>
  <rowBreaks count="1" manualBreakCount="1">
    <brk id="21" max="9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5"/>
  <sheetViews>
    <sheetView view="pageBreakPreview" zoomScale="130" zoomScaleNormal="100" zoomScaleSheetLayoutView="130" workbookViewId="0">
      <selection activeCell="H6" sqref="H6"/>
    </sheetView>
  </sheetViews>
  <sheetFormatPr defaultRowHeight="20.25" x14ac:dyDescent="0.3"/>
  <cols>
    <col min="1" max="1" width="5.5546875" customWidth="1"/>
    <col min="2" max="2" width="19.44140625" customWidth="1"/>
    <col min="3" max="3" width="13.21875" customWidth="1"/>
    <col min="4" max="8" width="11.33203125" customWidth="1"/>
    <col min="9" max="9" width="11.21875" customWidth="1"/>
    <col min="10" max="10" width="10.21875" customWidth="1"/>
  </cols>
  <sheetData>
    <row r="2" spans="1:10" x14ac:dyDescent="0.3">
      <c r="A2" s="374" t="s">
        <v>18</v>
      </c>
      <c r="B2" s="374"/>
      <c r="C2" s="374"/>
      <c r="D2" s="374"/>
      <c r="E2" s="374"/>
      <c r="F2" s="3"/>
      <c r="G2" s="3"/>
      <c r="H2" s="3"/>
      <c r="I2" s="3"/>
      <c r="J2" s="3"/>
    </row>
    <row r="3" spans="1:10" ht="18" customHeight="1" x14ac:dyDescent="0.3">
      <c r="A3" s="8"/>
      <c r="B3" s="3" t="s">
        <v>19</v>
      </c>
      <c r="C3" s="20"/>
      <c r="D3" s="3"/>
      <c r="E3" s="3"/>
      <c r="F3" s="3"/>
      <c r="G3" s="3"/>
      <c r="H3" s="3"/>
      <c r="I3" s="3"/>
      <c r="J3" s="3"/>
    </row>
    <row r="4" spans="1:10" ht="64.5" customHeight="1" x14ac:dyDescent="0.3">
      <c r="A4" s="4" t="s">
        <v>1</v>
      </c>
      <c r="B4" s="5" t="s">
        <v>2</v>
      </c>
      <c r="C4" s="21" t="s">
        <v>68</v>
      </c>
      <c r="D4" s="6" t="s">
        <v>10</v>
      </c>
      <c r="E4" s="6" t="s">
        <v>12</v>
      </c>
      <c r="F4" s="6" t="s">
        <v>11</v>
      </c>
      <c r="G4" s="6" t="s">
        <v>21</v>
      </c>
      <c r="H4" s="5" t="s">
        <v>20</v>
      </c>
      <c r="I4" s="5" t="s">
        <v>3</v>
      </c>
      <c r="J4" s="4" t="s">
        <v>4</v>
      </c>
    </row>
    <row r="5" spans="1:10" ht="90.75" customHeight="1" x14ac:dyDescent="0.3">
      <c r="A5" s="2">
        <v>1</v>
      </c>
      <c r="B5" s="35" t="s">
        <v>22</v>
      </c>
      <c r="C5" s="36">
        <v>759881</v>
      </c>
      <c r="D5" s="13"/>
      <c r="E5" s="14">
        <v>640000</v>
      </c>
      <c r="F5" s="14"/>
      <c r="G5" s="103">
        <v>6243.45</v>
      </c>
      <c r="H5" s="14">
        <v>113637.55</v>
      </c>
      <c r="I5" s="34" t="s">
        <v>16</v>
      </c>
      <c r="J5" s="7"/>
    </row>
  </sheetData>
  <mergeCells count="1">
    <mergeCell ref="A2:E2"/>
  </mergeCells>
  <pageMargins left="0.39370078740157483" right="0.19685039370078741" top="0.74803149606299213" bottom="0.74803149606299213" header="0.31496062992125984" footer="0.31496062992125984"/>
  <pageSetup paperSize="9" scale="90" firstPageNumber="33" orientation="landscape" useFirstPageNumber="1" r:id="rId1"/>
  <headerFooter>
    <oddHeader>&amp;R&amp;P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view="pageBreakPreview" zoomScale="110" zoomScaleNormal="100" zoomScaleSheetLayoutView="110" workbookViewId="0">
      <selection activeCell="H8" sqref="H8"/>
    </sheetView>
  </sheetViews>
  <sheetFormatPr defaultColWidth="8.88671875" defaultRowHeight="20.25" x14ac:dyDescent="0.3"/>
  <cols>
    <col min="1" max="1" width="4.6640625" customWidth="1"/>
    <col min="2" max="2" width="20" customWidth="1"/>
    <col min="3" max="3" width="12" style="25" customWidth="1"/>
    <col min="4" max="9" width="10.5546875" customWidth="1"/>
    <col min="10" max="10" width="11.33203125" customWidth="1"/>
  </cols>
  <sheetData>
    <row r="1" spans="1:10" ht="23.25" x14ac:dyDescent="0.35">
      <c r="A1" s="375" t="s">
        <v>65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x14ac:dyDescent="0.3">
      <c r="A2" s="376" t="s">
        <v>397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x14ac:dyDescent="0.3">
      <c r="A3" s="18" t="s">
        <v>5</v>
      </c>
      <c r="B3" s="3"/>
      <c r="C3" s="20"/>
      <c r="D3" s="3"/>
      <c r="E3" s="3"/>
      <c r="F3" s="3"/>
      <c r="G3" s="3"/>
      <c r="H3" s="3"/>
      <c r="I3" s="3"/>
      <c r="J3" s="3"/>
    </row>
    <row r="4" spans="1:10" x14ac:dyDescent="0.3">
      <c r="A4" s="374" t="s">
        <v>23</v>
      </c>
      <c r="B4" s="374"/>
      <c r="C4" s="374"/>
      <c r="D4" s="3"/>
      <c r="E4" s="3"/>
      <c r="F4" s="3"/>
      <c r="G4" s="3"/>
      <c r="H4" s="3"/>
      <c r="I4" s="3"/>
      <c r="J4" s="3"/>
    </row>
    <row r="5" spans="1:10" ht="13.5" customHeight="1" x14ac:dyDescent="0.3">
      <c r="A5" s="8"/>
      <c r="B5" s="3"/>
      <c r="C5" s="20"/>
      <c r="D5" s="3"/>
      <c r="E5" s="3"/>
      <c r="F5" s="3"/>
      <c r="G5" s="3"/>
      <c r="H5" s="3"/>
      <c r="I5" s="3"/>
      <c r="J5" s="3"/>
    </row>
    <row r="6" spans="1:10" ht="60.75" x14ac:dyDescent="0.3">
      <c r="A6" s="4" t="s">
        <v>1</v>
      </c>
      <c r="B6" s="5" t="s">
        <v>2</v>
      </c>
      <c r="C6" s="21" t="s">
        <v>68</v>
      </c>
      <c r="D6" s="1" t="s">
        <v>10</v>
      </c>
      <c r="E6" s="6" t="s">
        <v>12</v>
      </c>
      <c r="F6" s="1" t="s">
        <v>11</v>
      </c>
      <c r="G6" s="6" t="s">
        <v>13</v>
      </c>
      <c r="H6" s="5" t="s">
        <v>14</v>
      </c>
      <c r="I6" s="5" t="s">
        <v>3</v>
      </c>
      <c r="J6" s="4" t="s">
        <v>4</v>
      </c>
    </row>
    <row r="7" spans="1:10" ht="102" customHeight="1" x14ac:dyDescent="0.3">
      <c r="A7" s="2">
        <v>1</v>
      </c>
      <c r="B7" s="31" t="s">
        <v>24</v>
      </c>
      <c r="C7" s="37">
        <v>216000</v>
      </c>
      <c r="D7" s="13"/>
      <c r="E7" s="13"/>
      <c r="F7" s="14">
        <v>9750</v>
      </c>
      <c r="G7" s="14">
        <v>164450</v>
      </c>
      <c r="H7" s="14">
        <f>F7+41800</f>
        <v>51550</v>
      </c>
      <c r="I7" s="2" t="s">
        <v>8</v>
      </c>
      <c r="J7" s="2"/>
    </row>
    <row r="8" spans="1:10" ht="82.5" customHeight="1" x14ac:dyDescent="0.3">
      <c r="A8" s="2">
        <v>2</v>
      </c>
      <c r="B8" s="9" t="s">
        <v>25</v>
      </c>
      <c r="C8" s="38">
        <v>100000</v>
      </c>
      <c r="D8" s="13"/>
      <c r="E8" s="13"/>
      <c r="F8" s="14"/>
      <c r="G8" s="14">
        <v>97970</v>
      </c>
      <c r="H8" s="14">
        <v>2030</v>
      </c>
      <c r="I8" s="2" t="s">
        <v>8</v>
      </c>
      <c r="J8" s="2"/>
    </row>
    <row r="9" spans="1:10" ht="27.75" customHeight="1" x14ac:dyDescent="0.3">
      <c r="A9" s="74"/>
      <c r="B9" s="74" t="s">
        <v>82</v>
      </c>
      <c r="C9" s="75">
        <f>SUM(C7:C8)</f>
        <v>316000</v>
      </c>
      <c r="D9" s="74"/>
      <c r="E9" s="74"/>
      <c r="F9" s="75">
        <f>SUM(F7:F8)</f>
        <v>9750</v>
      </c>
      <c r="G9" s="75">
        <f>SUM(G7:G8)</f>
        <v>262420</v>
      </c>
      <c r="H9" s="75">
        <f>SUM(H7:H8)</f>
        <v>53580</v>
      </c>
      <c r="I9" s="29"/>
      <c r="J9" s="29"/>
    </row>
    <row r="10" spans="1:10" ht="26.25" customHeight="1" x14ac:dyDescent="0.3">
      <c r="B10" s="33"/>
    </row>
    <row r="11" spans="1:10" ht="26.25" customHeight="1" x14ac:dyDescent="0.3"/>
    <row r="12" spans="1:10" ht="26.25" customHeight="1" x14ac:dyDescent="0.3"/>
    <row r="13" spans="1:10" ht="26.25" customHeight="1" x14ac:dyDescent="0.3"/>
    <row r="14" spans="1:10" ht="26.25" customHeight="1" x14ac:dyDescent="0.3"/>
  </sheetData>
  <mergeCells count="3">
    <mergeCell ref="A1:J1"/>
    <mergeCell ref="A2:J2"/>
    <mergeCell ref="A4:C4"/>
  </mergeCells>
  <pageMargins left="0.19685039370078741" right="0.19685039370078741" top="0.74803149606299213" bottom="0.74803149606299213" header="0.31496062992125984" footer="0.31496062992125984"/>
  <pageSetup paperSize="9" scale="97" firstPageNumber="34" orientation="landscape" useFirstPageNumber="1" r:id="rId1"/>
  <headerFooter>
    <oddHeader>&amp;R&amp;P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zoomScaleNormal="100" zoomScaleSheetLayoutView="100" workbookViewId="0">
      <selection activeCell="A2" sqref="A2:J2"/>
    </sheetView>
  </sheetViews>
  <sheetFormatPr defaultColWidth="8.88671875" defaultRowHeight="20.25" x14ac:dyDescent="0.3"/>
  <cols>
    <col min="1" max="1" width="4.6640625" customWidth="1"/>
    <col min="2" max="2" width="21" customWidth="1"/>
    <col min="3" max="3" width="12" style="25" customWidth="1"/>
    <col min="4" max="8" width="11" customWidth="1"/>
    <col min="9" max="9" width="9.6640625" customWidth="1"/>
    <col min="10" max="10" width="11.33203125" customWidth="1"/>
  </cols>
  <sheetData>
    <row r="1" spans="1:10" ht="23.25" x14ac:dyDescent="0.35">
      <c r="A1" s="375" t="s">
        <v>65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x14ac:dyDescent="0.3">
      <c r="A2" s="376" t="s">
        <v>397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x14ac:dyDescent="0.3">
      <c r="A3" s="18" t="s">
        <v>5</v>
      </c>
      <c r="B3" s="3"/>
      <c r="C3" s="20"/>
      <c r="D3" s="3"/>
      <c r="E3" s="3"/>
      <c r="F3" s="3"/>
      <c r="G3" s="3"/>
      <c r="H3" s="3"/>
      <c r="I3" s="3"/>
      <c r="J3" s="3"/>
    </row>
    <row r="4" spans="1:10" x14ac:dyDescent="0.3">
      <c r="A4" s="374" t="s">
        <v>26</v>
      </c>
      <c r="B4" s="374"/>
      <c r="C4" s="374"/>
      <c r="D4" s="3"/>
      <c r="E4" s="3"/>
      <c r="F4" s="3"/>
      <c r="G4" s="3"/>
      <c r="H4" s="3"/>
      <c r="I4" s="3"/>
      <c r="J4" s="3"/>
    </row>
    <row r="5" spans="1:10" ht="13.5" customHeight="1" x14ac:dyDescent="0.3">
      <c r="A5" s="8"/>
      <c r="B5" s="3"/>
      <c r="C5" s="20"/>
      <c r="D5" s="3"/>
      <c r="E5" s="3"/>
      <c r="F5" s="3"/>
      <c r="G5" s="3"/>
      <c r="H5" s="3"/>
      <c r="I5" s="3"/>
      <c r="J5" s="3"/>
    </row>
    <row r="6" spans="1:10" ht="60.75" x14ac:dyDescent="0.3">
      <c r="A6" s="4" t="s">
        <v>1</v>
      </c>
      <c r="B6" s="5" t="s">
        <v>2</v>
      </c>
      <c r="C6" s="21" t="s">
        <v>68</v>
      </c>
      <c r="D6" s="1" t="s">
        <v>10</v>
      </c>
      <c r="E6" s="6" t="s">
        <v>12</v>
      </c>
      <c r="F6" s="1" t="s">
        <v>11</v>
      </c>
      <c r="G6" s="6" t="s">
        <v>13</v>
      </c>
      <c r="H6" s="5" t="s">
        <v>14</v>
      </c>
      <c r="I6" s="5" t="s">
        <v>3</v>
      </c>
      <c r="J6" s="4" t="s">
        <v>4</v>
      </c>
    </row>
    <row r="7" spans="1:10" ht="102" customHeight="1" x14ac:dyDescent="0.3">
      <c r="A7" s="2">
        <v>1</v>
      </c>
      <c r="B7" s="39" t="s">
        <v>27</v>
      </c>
      <c r="C7" s="40">
        <v>40000</v>
      </c>
      <c r="D7" s="13"/>
      <c r="E7" s="13"/>
      <c r="F7" s="14"/>
      <c r="G7" s="14">
        <v>37995</v>
      </c>
      <c r="H7" s="14">
        <v>2005</v>
      </c>
      <c r="I7" s="34" t="s">
        <v>28</v>
      </c>
      <c r="J7" s="2"/>
    </row>
    <row r="8" spans="1:10" ht="27.75" customHeight="1" x14ac:dyDescent="0.3"/>
    <row r="9" spans="1:10" ht="26.25" customHeight="1" x14ac:dyDescent="0.3">
      <c r="B9" s="33"/>
    </row>
    <row r="10" spans="1:10" ht="26.25" customHeight="1" x14ac:dyDescent="0.3"/>
    <row r="11" spans="1:10" ht="26.25" customHeight="1" x14ac:dyDescent="0.3"/>
    <row r="12" spans="1:10" ht="26.25" customHeight="1" x14ac:dyDescent="0.3"/>
    <row r="13" spans="1:10" ht="26.25" customHeight="1" x14ac:dyDescent="0.3"/>
  </sheetData>
  <mergeCells count="3">
    <mergeCell ref="A1:J1"/>
    <mergeCell ref="A2:J2"/>
    <mergeCell ref="A4:C4"/>
  </mergeCells>
  <pageMargins left="0.19685039370078741" right="0.19685039370078741" top="0.74803149606299213" bottom="0.74803149606299213" header="0.31496062992125984" footer="0.31496062992125984"/>
  <pageSetup paperSize="9" scale="97" firstPageNumber="35" orientation="landscape" useFirstPageNumber="1" r:id="rId1"/>
  <headerFooter>
    <oddHeader>&amp;R&amp;P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21</vt:i4>
      </vt:variant>
      <vt:variant>
        <vt:lpstr>ช่วงที่มีชื่อ</vt:lpstr>
      </vt:variant>
      <vt:variant>
        <vt:i4>15</vt:i4>
      </vt:variant>
    </vt:vector>
  </HeadingPairs>
  <TitlesOfParts>
    <vt:vector size="36" baseType="lpstr">
      <vt:lpstr>สรุปการติดตาม</vt:lpstr>
      <vt:lpstr>สรุปรายงาน1</vt:lpstr>
      <vt:lpstr>สรุปรายงาน</vt:lpstr>
      <vt:lpstr>สรุป</vt:lpstr>
      <vt:lpstr>ผลการดำเนินงาน</vt:lpstr>
      <vt:lpstr>ย1 อุตสาหกรรมและโยธา</vt:lpstr>
      <vt:lpstr>ย1 เคหะ</vt:lpstr>
      <vt:lpstr>ย2 แผนงานเกษตร</vt:lpstr>
      <vt:lpstr>ย2 สร้างความเข้มแข็ง</vt:lpstr>
      <vt:lpstr>ย3 การศึกษา</vt:lpstr>
      <vt:lpstr>ย3 ศาสนาวัฒนธรรม</vt:lpstr>
      <vt:lpstr>ย4 สาธารณสุข</vt:lpstr>
      <vt:lpstr>ย5 ด้านทรัพยากรธรรมชาติ </vt:lpstr>
      <vt:lpstr>ย5 เคหะและชุมชน</vt:lpstr>
      <vt:lpstr>ย7 แผนงานบริหารทั้วไป</vt:lpstr>
      <vt:lpstr>ย7 แผนงานรักษาความสงบภายใน</vt:lpstr>
      <vt:lpstr>จัดจ้างในปี 2566</vt:lpstr>
      <vt:lpstr>จัดจ้างในปี2567</vt:lpstr>
      <vt:lpstr>แผนดำเนินงานปี67</vt:lpstr>
      <vt:lpstr>สรุปการใช้จ่ายเงิน</vt:lpstr>
      <vt:lpstr>แผนดำเนินงาน67</vt:lpstr>
      <vt:lpstr>'ย1 เคหะ'!Print_Area</vt:lpstr>
      <vt:lpstr>'ย1 อุตสาหกรรมและโยธา'!Print_Area</vt:lpstr>
      <vt:lpstr>'ย2 แผนงานเกษตร'!Print_Area</vt:lpstr>
      <vt:lpstr>'ย2 สร้างความเข้มแข็ง'!Print_Area</vt:lpstr>
      <vt:lpstr>'ย4 สาธารณสุข'!Print_Area</vt:lpstr>
      <vt:lpstr>'ย5 เคหะและชุมชน'!Print_Area</vt:lpstr>
      <vt:lpstr>'ย5 ด้านทรัพยากรธรรมชาติ '!Print_Area</vt:lpstr>
      <vt:lpstr>'ย7 แผนงานบริหารทั้วไป'!Print_Area</vt:lpstr>
      <vt:lpstr>'ย7 แผนงานรักษาความสงบภายใน'!Print_Area</vt:lpstr>
      <vt:lpstr>สรุปรายงาน!Print_Area</vt:lpstr>
      <vt:lpstr>สรุปรายงาน1!Print_Area</vt:lpstr>
      <vt:lpstr>'จัดจ้างในปี 2566'!Print_Titles</vt:lpstr>
      <vt:lpstr>จัดจ้างในปี2567!Print_Titles</vt:lpstr>
      <vt:lpstr>แผนดำเนินงาน67!Print_Titles</vt:lpstr>
      <vt:lpstr>'ย1 อุตสาหกรรมและโยธา'!Print_Titles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2023-11-10T09:32:24Z</cp:lastPrinted>
  <dcterms:created xsi:type="dcterms:W3CDTF">2022-04-27T08:29:27Z</dcterms:created>
  <dcterms:modified xsi:type="dcterms:W3CDTF">2024-07-26T02:51:50Z</dcterms:modified>
</cp:coreProperties>
</file>